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4"/>
    <sheet state="visible" name="2024 Broadway" sheetId="2" r:id="rId5"/>
    <sheet state="visible" name="2023 Broadway" sheetId="3" r:id="rId6"/>
    <sheet state="visible" name="2024 Ben Day" sheetId="4" r:id="rId7"/>
    <sheet state="visible" name="2023 Ben Day" sheetId="5" r:id="rId8"/>
  </sheets>
  <definedNames/>
  <calcPr/>
</workbook>
</file>

<file path=xl/sharedStrings.xml><?xml version="1.0" encoding="utf-8"?>
<sst xmlns="http://schemas.openxmlformats.org/spreadsheetml/2006/main" count="266" uniqueCount="125">
  <si>
    <t>2024 NOI</t>
  </si>
  <si>
    <t>2024 Gross Revenue</t>
  </si>
  <si>
    <t>2024 Expenses</t>
  </si>
  <si>
    <t>2023 NOI</t>
  </si>
  <si>
    <t>2023 Gross revenue</t>
  </si>
  <si>
    <t>2023 Expenses</t>
  </si>
  <si>
    <t>Rent Roll Looking forward</t>
  </si>
  <si>
    <t>Broadway</t>
  </si>
  <si>
    <t>92.5% leased</t>
  </si>
  <si>
    <t>Ben Day</t>
  </si>
  <si>
    <t>100% leased</t>
  </si>
  <si>
    <t>Proposed Cap Rate</t>
  </si>
  <si>
    <t>Exact Broadway LLC</t>
  </si>
  <si>
    <t>Profit and Loss</t>
  </si>
  <si>
    <t>January - December 2024</t>
  </si>
  <si>
    <t>partial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</si>
  <si>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</si>
  <si>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</si>
  <si>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</si>
  <si>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</si>
  <si>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</si>
  <si>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</si>
  <si>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</si>
  <si>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</si>
  <si>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</si>
  <si>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</si>
  <si>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</si>
  <si>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</si>
  <si>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Total</t>
  </si>
  <si>
    <t>Income</t>
  </si>
  <si>
    <t xml:space="preserve">   4000 Rental Income</t>
  </si>
  <si>
    <t xml:space="preserve">      4010 Residential Rent Income</t>
  </si>
  <si>
    <t xml:space="preserve">      4090 Returned Rent Income</t>
  </si>
  <si>
    <t xml:space="preserve">   Total 4000 Rental Income</t>
  </si>
  <si>
    <t xml:space="preserve">   4300 Other Recurring Income</t>
  </si>
  <si>
    <t xml:space="preserve">      4340 Interest Income</t>
  </si>
  <si>
    <t xml:space="preserve">   Total 4300 Other Recurring Income</t>
  </si>
  <si>
    <t>Total Income</t>
  </si>
  <si>
    <t>Gross Profit</t>
  </si>
  <si>
    <t>Expenses</t>
  </si>
  <si>
    <t xml:space="preserve">   5000 Administrative Expense</t>
  </si>
  <si>
    <t xml:space="preserve">      5020 Software Expenses</t>
  </si>
  <si>
    <t xml:space="preserve">   Total 5000 Administrative Expense</t>
  </si>
  <si>
    <t xml:space="preserve">   5050 Business Licenses and Permits</t>
  </si>
  <si>
    <t xml:space="preserve">   5100 Marketing Expenses</t>
  </si>
  <si>
    <t xml:space="preserve">   5200 Professional Fees</t>
  </si>
  <si>
    <t xml:space="preserve">      5210 Management Fees</t>
  </si>
  <si>
    <t xml:space="preserve">      5220 Tax &amp; Accounting</t>
  </si>
  <si>
    <t xml:space="preserve">   Total 5200 Professional Fees</t>
  </si>
  <si>
    <t xml:space="preserve">   6000 Repairs &amp; Maintenance</t>
  </si>
  <si>
    <t xml:space="preserve">   6090 Miscellaneous Expense qbo</t>
  </si>
  <si>
    <t xml:space="preserve">   6100 Residential Units</t>
  </si>
  <si>
    <t xml:space="preserve">   6300 Supplies</t>
  </si>
  <si>
    <t xml:space="preserve">   6320 Paint Supplies</t>
  </si>
  <si>
    <t xml:space="preserve">   7000 Utilities Expenses</t>
  </si>
  <si>
    <t xml:space="preserve">      7010 Utilities Electrical</t>
  </si>
  <si>
    <t xml:space="preserve">      7020 Utilities Gas</t>
  </si>
  <si>
    <t xml:space="preserve">      7030 Utilities Water</t>
  </si>
  <si>
    <t xml:space="preserve">      7055 Monitoring</t>
  </si>
  <si>
    <t xml:space="preserve">      7070 Trash</t>
  </si>
  <si>
    <t xml:space="preserve">   Total 7000 Utilities Expenses</t>
  </si>
  <si>
    <t xml:space="preserve">   7500 Contract Services</t>
  </si>
  <si>
    <t xml:space="preserve">      7510 Cleaning-Residential</t>
  </si>
  <si>
    <t xml:space="preserve">      7530 Landscaping</t>
  </si>
  <si>
    <t xml:space="preserve">      7535 Snow removal</t>
  </si>
  <si>
    <t xml:space="preserve">      7540 Extermination</t>
  </si>
  <si>
    <t xml:space="preserve">   Total 7500 Contract Services</t>
  </si>
  <si>
    <t xml:space="preserve">   8000 Taxes &amp; Insurance</t>
  </si>
  <si>
    <t xml:space="preserve">      8010 Real Estate Taxes</t>
  </si>
  <si>
    <t xml:space="preserve">      8100 Insurance Expense</t>
  </si>
  <si>
    <t xml:space="preserve">   Total 8000 Taxes &amp; Insurance</t>
  </si>
  <si>
    <t xml:space="preserve">   9000 Financing</t>
  </si>
  <si>
    <t xml:space="preserve">   Total 9000 Financing</t>
  </si>
  <si>
    <t>Total Expenses</t>
  </si>
  <si>
    <t>Net Operating Income</t>
  </si>
  <si>
    <t>Net Income</t>
  </si>
  <si>
    <t>Thursday, Dec 19, 2024 06:19:26 AM GMT-8 - Accrual Basis</t>
  </si>
  <si>
    <t>January - December 2023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</si>
  <si>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</si>
  <si>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</si>
  <si>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</si>
  <si>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</si>
  <si>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</si>
  <si>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</si>
  <si>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</si>
  <si>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</si>
  <si>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</si>
  <si>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</si>
  <si>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</si>
  <si>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</si>
  <si>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Cost of Goods Sold</t>
  </si>
  <si>
    <t xml:space="preserve">   Deposit refund</t>
  </si>
  <si>
    <t>Total Cost of Goods Sold</t>
  </si>
  <si>
    <t xml:space="preserve">   5060 Bank Charges &amp; Fees</t>
  </si>
  <si>
    <t xml:space="preserve">   7515 Cleaning Supplies</t>
  </si>
  <si>
    <t xml:space="preserve">   7515 Cleaning Supplies ( 327 )</t>
  </si>
  <si>
    <t xml:space="preserve">   7590 Inspections</t>
  </si>
  <si>
    <t xml:space="preserve">   Melio Service Fees</t>
  </si>
  <si>
    <t xml:space="preserve">   Total 6900 CapEx</t>
  </si>
  <si>
    <t>Total Other Expenses</t>
  </si>
  <si>
    <t>Net Other Income</t>
  </si>
  <si>
    <t>Thursday, Dec 19, 2024 11:35:28 AM GMT-8 - Accrual Basis</t>
  </si>
  <si>
    <t>Exact BenDay LLC</t>
  </si>
  <si>
    <t>Partial month</t>
  </si>
  <si>
    <t xml:space="preserve">   5000 Office Expense</t>
  </si>
  <si>
    <t xml:space="preserve">   5020 Computer and Internet Expenses</t>
  </si>
  <si>
    <t xml:space="preserve">      5021 Software Expense</t>
  </si>
  <si>
    <t xml:space="preserve">   Total 5020 Computer and Internet Expenses</t>
  </si>
  <si>
    <t xml:space="preserve">   5100 Marketing and Advertising</t>
  </si>
  <si>
    <t xml:space="preserve">   5600 Bank Service Charges</t>
  </si>
  <si>
    <t xml:space="preserve">   7000 Operating Expenses</t>
  </si>
  <si>
    <t xml:space="preserve">      7070 Utilities Trash</t>
  </si>
  <si>
    <t xml:space="preserve">   Total 7000 Operating Expenses</t>
  </si>
  <si>
    <t xml:space="preserve">      7035 Snow Removal</t>
  </si>
  <si>
    <t xml:space="preserve">   8000 Taxes</t>
  </si>
  <si>
    <t xml:space="preserve">   Total 8000 Taxes</t>
  </si>
  <si>
    <t xml:space="preserve">   8100 Insurance Exp</t>
  </si>
  <si>
    <t>Other Income</t>
  </si>
  <si>
    <t xml:space="preserve">   4631 Interest Income</t>
  </si>
  <si>
    <t>Total Other Income</t>
  </si>
  <si>
    <t>Thursday, Dec 19, 2024 06:20:11 AM GMT-8 - Accrual Basis</t>
  </si>
  <si>
    <t xml:space="preserve">   5050 Licenses and Permits</t>
  </si>
  <si>
    <t xml:space="preserve">   5051 Fees &amp; Permits</t>
  </si>
  <si>
    <t xml:space="preserve">      5280 Contract Labor &amp; Services</t>
  </si>
  <si>
    <t>Thursday, Dec 19, 2024 11:29:07 AM GMT-8 - Accrual Basis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</si>
</sst>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#,##0.00\ _€"/>
    <numFmt numFmtId="166" formatCode="&quot;$&quot;* #,##0.00\ _€"/>
  </numFmts>
  <fonts count="10">
    <font>
      <sz val="11.0"/>
      <color rgb="FF000000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color theme="1"/>
      <name val="Calibri"/>
      <scheme val="minor"/>
    </font>
    <font>
      <b/>
      <sz val="14.0"/>
      <color rgb="FF000000"/>
      <name val="Arial"/>
    </font>
    <font>
      <b/>
      <sz val="10.0"/>
      <color rgb="FF000000"/>
      <name val="Arial"/>
    </font>
    <font>
      <sz val="11.0"/>
      <color rgb="FF000000"/>
      <name val="Calibri"/>
    </font>
    <font>
      <b/>
      <sz val="9.0"/>
      <color rgb="FF000000"/>
      <name val="Arial"/>
    </font>
    <font>
      <b/>
      <sz val="8.0"/>
      <color rgb="FF000000"/>
      <name val="Arial"/>
    </font>
    <font>
      <sz val="8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00FF"/>
        <bgColor rgb="FFFF00FF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B7B7B7"/>
        <bgColor rgb="FFB7B7B7"/>
      </patternFill>
    </fill>
  </fills>
  <borders count="3">
    <border/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vertical="bottom"/>
    </xf>
    <xf borderId="0" fillId="2" fontId="1" numFmtId="0" xfId="0" applyAlignment="1" applyFill="1" applyFont="1">
      <alignment vertical="bottom"/>
    </xf>
    <xf borderId="0" fillId="3" fontId="1" numFmtId="0" xfId="0" applyAlignment="1" applyFill="1" applyFont="1">
      <alignment readingOrder="0" vertical="bottom"/>
    </xf>
    <xf borderId="0" fillId="4" fontId="1" numFmtId="0" xfId="0" applyAlignment="1" applyFill="1" applyFont="1">
      <alignment readingOrder="0" vertical="bottom"/>
    </xf>
    <xf borderId="0" fillId="5" fontId="1" numFmtId="164" xfId="0" applyAlignment="1" applyFill="1" applyFont="1" applyNumberFormat="1">
      <alignment shrinkToFit="0" vertical="bottom" wrapText="0"/>
    </xf>
    <xf borderId="0" fillId="3" fontId="2" numFmtId="164" xfId="0" applyAlignment="1" applyFont="1" applyNumberFormat="1">
      <alignment horizontal="right" vertical="bottom"/>
    </xf>
    <xf borderId="0" fillId="4" fontId="2" numFmtId="164" xfId="0" applyAlignment="1" applyFont="1" applyNumberFormat="1">
      <alignment horizontal="right" vertical="bottom"/>
    </xf>
    <xf borderId="0" fillId="4" fontId="1" numFmtId="164" xfId="0" applyAlignment="1" applyFont="1" applyNumberFormat="1">
      <alignment horizontal="right" vertical="bottom"/>
    </xf>
    <xf borderId="0" fillId="5" fontId="1" numFmtId="164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6" fontId="1" numFmtId="10" xfId="0" applyAlignment="1" applyFill="1" applyFont="1" applyNumberFormat="1">
      <alignment horizontal="right" readingOrder="0" vertical="bottom"/>
    </xf>
    <xf borderId="0" fillId="0" fontId="1" numFmtId="10" xfId="0" applyAlignment="1" applyFont="1" applyNumberFormat="1">
      <alignment horizontal="right" vertical="bottom"/>
    </xf>
    <xf borderId="0" fillId="0" fontId="1" numFmtId="0" xfId="0" applyAlignment="1" applyFont="1">
      <alignment readingOrder="0" vertical="bottom"/>
    </xf>
    <xf borderId="0" fillId="0" fontId="2" numFmtId="164" xfId="0" applyAlignment="1" applyFont="1" applyNumberFormat="1">
      <alignment horizontal="right" vertical="bottom"/>
    </xf>
    <xf borderId="0" fillId="0" fontId="4" numFmtId="0" xfId="0" applyAlignment="1" applyFont="1">
      <alignment horizontal="center" shrinkToFit="0" wrapText="0"/>
    </xf>
    <xf borderId="0" fillId="0" fontId="5" numFmtId="0" xfId="0" applyAlignment="1" applyFont="1">
      <alignment horizontal="center" shrinkToFit="0" wrapText="0"/>
    </xf>
    <xf borderId="0" fillId="0" fontId="6" numFmtId="0" xfId="0" applyAlignment="1" applyFont="1">
      <alignment shrinkToFit="0" wrapText="1"/>
    </xf>
    <xf borderId="1" fillId="0" fontId="7" numFmtId="0" xfId="0" applyAlignment="1" applyBorder="1" applyFont="1">
      <alignment horizontal="center" shrinkToFit="0" wrapText="1"/>
    </xf>
    <xf borderId="0" fillId="0" fontId="8" numFmtId="0" xfId="0" applyAlignment="1" applyFont="1">
      <alignment horizontal="left" shrinkToFit="0" wrapText="1"/>
    </xf>
    <xf borderId="0" fillId="0" fontId="9" numFmtId="165" xfId="0" applyAlignment="1" applyFont="1" applyNumberFormat="1">
      <alignment shrinkToFit="0" wrapText="1"/>
    </xf>
    <xf borderId="0" fillId="0" fontId="9" numFmtId="165" xfId="0" applyAlignment="1" applyFont="1" applyNumberFormat="1">
      <alignment horizontal="right" shrinkToFit="0" wrapText="1"/>
    </xf>
    <xf borderId="2" fillId="0" fontId="8" numFmtId="166" xfId="0" applyAlignment="1" applyBorder="1" applyFont="1" applyNumberFormat="1">
      <alignment horizontal="right" shrinkToFit="0" wrapText="1"/>
    </xf>
    <xf borderId="0" fillId="0" fontId="9" numFmtId="165" xfId="0" applyAlignment="1" applyFont="1" applyNumberFormat="1">
      <alignment horizontal="right" readingOrder="0" shrinkToFit="0" wrapText="1"/>
    </xf>
    <xf borderId="0" fillId="0" fontId="9" numFmtId="165" xfId="0" applyAlignment="1" applyFont="1" applyNumberFormat="1">
      <alignment readingOrder="0" shrinkToFit="0" wrapText="1"/>
    </xf>
    <xf borderId="0" fillId="0" fontId="9" numFmtId="0" xfId="0" applyAlignment="1" applyFont="1">
      <alignment horizontal="center" shrinkToFit="0" wrapText="0"/>
    </xf>
    <xf borderId="0" fillId="4" fontId="9" numFmtId="165" xfId="0" applyAlignment="1" applyFont="1" applyNumberFormat="1">
      <alignment horizontal="right" shrinkToFit="0" wrapText="1"/>
    </xf>
    <xf borderId="0" fillId="4" fontId="9" numFmtId="165" xfId="0" applyAlignment="1" applyFont="1" applyNumberForma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7.14"/>
    <col customWidth="1" min="8" max="8" width="23.0"/>
    <col customWidth="1" min="9" max="9" width="18.71"/>
  </cols>
  <sheetData>
    <row r="2">
      <c r="A2" s="1"/>
      <c r="B2" s="1"/>
      <c r="C2" s="1"/>
      <c r="D2" s="1"/>
      <c r="E2" s="1"/>
      <c r="F2" s="1"/>
      <c r="G2" s="1"/>
      <c r="H2" s="2"/>
    </row>
    <row r="3">
      <c r="A3" s="1"/>
      <c r="B3" s="1"/>
      <c r="C3" s="1"/>
      <c r="D3" s="1"/>
      <c r="E3" s="1"/>
      <c r="F3" s="1"/>
      <c r="G3" s="1"/>
      <c r="H3" s="2"/>
    </row>
    <row r="4">
      <c r="A4" s="3"/>
      <c r="B4" s="4" t="s">
        <v>0</v>
      </c>
      <c r="C4" s="4" t="s">
        <v>1</v>
      </c>
      <c r="D4" s="4" t="s">
        <v>2</v>
      </c>
      <c r="E4" s="5" t="s">
        <v>3</v>
      </c>
      <c r="F4" s="5" t="s">
        <v>4</v>
      </c>
      <c r="G4" s="5" t="s">
        <v>5</v>
      </c>
      <c r="H4" s="6" t="s">
        <v>6</v>
      </c>
    </row>
    <row r="5">
      <c r="A5" s="3" t="s">
        <v>7</v>
      </c>
      <c r="B5" s="7">
        <f>'2024 Broadway'!N53</f>
        <v>193405.14</v>
      </c>
      <c r="C5" s="7">
        <f>'2024 Broadway'!N15</f>
        <v>348085.48</v>
      </c>
      <c r="D5" s="7">
        <f>'2024 Broadway'!N52</f>
        <v>154680.34</v>
      </c>
      <c r="E5" s="8">
        <f>'2023 Broadway'!N61</f>
        <v>184032.54</v>
      </c>
      <c r="F5" s="9">
        <f>'2023 Broadway'!N15</f>
        <v>332122.98</v>
      </c>
      <c r="G5" s="9">
        <f>'2023 Broadway'!N53</f>
        <v>148090.44</v>
      </c>
      <c r="H5" s="10">
        <f>27034*12</f>
        <v>324408</v>
      </c>
      <c r="I5" s="11" t="s">
        <v>8</v>
      </c>
    </row>
    <row r="6">
      <c r="A6" s="3" t="s">
        <v>9</v>
      </c>
      <c r="B6" s="7">
        <f>'2024 Ben Day'!N47</f>
        <v>168823.01</v>
      </c>
      <c r="C6" s="7">
        <f>'2024 Ben Day'!N12</f>
        <v>307342.87</v>
      </c>
      <c r="D6" s="7">
        <f>'2024 Ben Day'!N41</f>
        <v>138749.2</v>
      </c>
      <c r="E6" s="8">
        <f>'2023 Ben Day'!N49</f>
        <v>168522.15</v>
      </c>
      <c r="F6" s="9">
        <f>'2023 Ben Day'!N11</f>
        <v>308459.02</v>
      </c>
      <c r="G6" s="9">
        <f>'2023 Ben Day'!N43</f>
        <v>140662.17</v>
      </c>
      <c r="H6" s="10">
        <f>27438*12</f>
        <v>329256</v>
      </c>
      <c r="I6" s="11" t="s">
        <v>10</v>
      </c>
    </row>
    <row r="7">
      <c r="A7" s="1" t="s">
        <v>11</v>
      </c>
      <c r="B7" s="12">
        <v>0.06</v>
      </c>
      <c r="C7" s="12"/>
      <c r="D7" s="12"/>
      <c r="E7" s="12">
        <v>0.06</v>
      </c>
      <c r="F7" s="1"/>
      <c r="G7" s="13"/>
      <c r="H7" s="14"/>
    </row>
    <row r="8">
      <c r="A8" s="1"/>
      <c r="B8" s="1"/>
      <c r="C8" s="1"/>
      <c r="D8" s="1"/>
      <c r="E8" s="1"/>
      <c r="F8" s="1"/>
      <c r="G8" s="15"/>
      <c r="H8" s="1"/>
      <c r="J8" s="1"/>
    </row>
    <row r="9">
      <c r="H9" s="1"/>
      <c r="J9" s="1"/>
    </row>
    <row r="10">
      <c r="H10" s="1"/>
      <c r="I10" s="1"/>
      <c r="J10" s="1"/>
    </row>
    <row r="11">
      <c r="A11" s="3" t="s">
        <v>7</v>
      </c>
      <c r="B11" s="7">
        <f>B5/B7</f>
        <v>3223419</v>
      </c>
      <c r="E11" s="8">
        <f>E5/E7</f>
        <v>3067209</v>
      </c>
      <c r="H11" s="1"/>
      <c r="I11" s="1"/>
      <c r="J11" s="1"/>
    </row>
    <row r="12">
      <c r="A12" s="3" t="s">
        <v>9</v>
      </c>
      <c r="B12" s="7">
        <f>B6/B7</f>
        <v>2813716.833</v>
      </c>
      <c r="E12" s="8">
        <f>E6/E7</f>
        <v>2808702.5</v>
      </c>
      <c r="H12" s="1"/>
      <c r="I12" s="1"/>
      <c r="J12" s="1"/>
    </row>
    <row r="13">
      <c r="H13" s="1"/>
      <c r="I13" s="1"/>
      <c r="J13" s="1"/>
    </row>
    <row r="14">
      <c r="H14" s="1"/>
      <c r="I14" s="1"/>
      <c r="J14" s="1"/>
    </row>
    <row r="15">
      <c r="H15" s="1"/>
      <c r="I15" s="1"/>
      <c r="J15" s="1"/>
    </row>
    <row r="16">
      <c r="H16" s="1"/>
      <c r="I16" s="1"/>
      <c r="J16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43"/>
    <col customWidth="1" min="2" max="11" width="9.43"/>
    <col customWidth="1" min="12" max="12" width="11.14"/>
    <col customWidth="1" min="13" max="13" width="9.43"/>
    <col customWidth="1" min="14" max="14" width="10.29"/>
    <col customWidth="1" min="15" max="26" width="8.71"/>
  </cols>
  <sheetData>
    <row r="1">
      <c r="A1" s="16" t="s">
        <v>12</v>
      </c>
    </row>
    <row r="2">
      <c r="A2" s="16" t="s">
        <v>13</v>
      </c>
    </row>
    <row r="3">
      <c r="A3" s="17" t="s">
        <v>14</v>
      </c>
    </row>
    <row r="4">
      <c r="M4" s="11" t="s">
        <v>15</v>
      </c>
    </row>
    <row r="5">
      <c r="A5" s="18"/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23</v>
      </c>
      <c r="J5" s="19" t="s">
        <v>24</v>
      </c>
      <c r="K5" s="19" t="s">
        <v>25</v>
      </c>
      <c r="L5" s="19" t="s">
        <v>26</v>
      </c>
      <c r="M5" s="19" t="s">
        <v>27</v>
      </c>
      <c r="N5" s="19" t="s">
        <v>28</v>
      </c>
    </row>
    <row r="6">
      <c r="A6" s="20" t="s">
        <v>29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>
      <c r="A7" s="20" t="s">
        <v>30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2">
        <f t="shared" ref="N7:N15" si="1">(((((((((((B7)+(C7))+(D7))+(E7))+(F7))+(G7))+(H7))+(I7))+(J7))+(K7))+(L7))+(M7)</f>
        <v>0</v>
      </c>
    </row>
    <row r="8">
      <c r="A8" s="20" t="s">
        <v>31</v>
      </c>
      <c r="B8" s="22">
        <f>29740.32</f>
        <v>29740.32</v>
      </c>
      <c r="C8" s="22">
        <f>28033.68</f>
        <v>28033.68</v>
      </c>
      <c r="D8" s="22">
        <f>26418</f>
        <v>26418</v>
      </c>
      <c r="E8" s="22">
        <f>28011.64</f>
        <v>28011.64</v>
      </c>
      <c r="F8" s="22">
        <f>30141.72</f>
        <v>30141.72</v>
      </c>
      <c r="G8" s="22">
        <f>42051.35</f>
        <v>42051.35</v>
      </c>
      <c r="H8" s="22">
        <f>31729.39</f>
        <v>31729.39</v>
      </c>
      <c r="I8" s="22">
        <f>25105.19</f>
        <v>25105.19</v>
      </c>
      <c r="J8" s="22">
        <f>28174.54</f>
        <v>28174.54</v>
      </c>
      <c r="K8" s="22">
        <f>31887.61</f>
        <v>31887.61</v>
      </c>
      <c r="L8" s="22">
        <f>27205.68</f>
        <v>27205.68</v>
      </c>
      <c r="M8" s="22">
        <f>21946.36</f>
        <v>21946.36</v>
      </c>
      <c r="N8" s="22">
        <f t="shared" si="1"/>
        <v>350445.48</v>
      </c>
    </row>
    <row r="9">
      <c r="A9" s="20" t="s">
        <v>32</v>
      </c>
      <c r="B9" s="22">
        <f>-1254</f>
        <v>-1254</v>
      </c>
      <c r="C9" s="21"/>
      <c r="D9" s="21"/>
      <c r="E9" s="21"/>
      <c r="F9" s="21"/>
      <c r="G9" s="21"/>
      <c r="H9" s="22">
        <f>-1</f>
        <v>-1</v>
      </c>
      <c r="I9" s="21"/>
      <c r="J9" s="21"/>
      <c r="K9" s="22">
        <f>-1165</f>
        <v>-1165</v>
      </c>
      <c r="L9" s="21"/>
      <c r="M9" s="21"/>
      <c r="N9" s="22">
        <f t="shared" si="1"/>
        <v>-2420</v>
      </c>
    </row>
    <row r="10">
      <c r="A10" s="20" t="s">
        <v>33</v>
      </c>
      <c r="B10" s="23">
        <f t="shared" ref="B10:M10" si="2">((B7)+(B8))+(B9)</f>
        <v>28486.32</v>
      </c>
      <c r="C10" s="23">
        <f t="shared" si="2"/>
        <v>28033.68</v>
      </c>
      <c r="D10" s="23">
        <f t="shared" si="2"/>
        <v>26418</v>
      </c>
      <c r="E10" s="23">
        <f t="shared" si="2"/>
        <v>28011.64</v>
      </c>
      <c r="F10" s="23">
        <f t="shared" si="2"/>
        <v>30141.72</v>
      </c>
      <c r="G10" s="23">
        <f t="shared" si="2"/>
        <v>42051.35</v>
      </c>
      <c r="H10" s="23">
        <f t="shared" si="2"/>
        <v>31728.39</v>
      </c>
      <c r="I10" s="23">
        <f t="shared" si="2"/>
        <v>25105.19</v>
      </c>
      <c r="J10" s="23">
        <f t="shared" si="2"/>
        <v>28174.54</v>
      </c>
      <c r="K10" s="23">
        <f t="shared" si="2"/>
        <v>30722.61</v>
      </c>
      <c r="L10" s="23">
        <f t="shared" si="2"/>
        <v>27205.68</v>
      </c>
      <c r="M10" s="23">
        <f t="shared" si="2"/>
        <v>21946.36</v>
      </c>
      <c r="N10" s="23">
        <f t="shared" si="1"/>
        <v>348025.48</v>
      </c>
    </row>
    <row r="11">
      <c r="A11" s="20" t="s">
        <v>34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2">
        <f t="shared" si="1"/>
        <v>0</v>
      </c>
    </row>
    <row r="12">
      <c r="A12" s="20" t="s">
        <v>35</v>
      </c>
      <c r="B12" s="21"/>
      <c r="C12" s="21"/>
      <c r="D12" s="21"/>
      <c r="E12" s="22">
        <f>1.64</f>
        <v>1.64</v>
      </c>
      <c r="F12" s="22">
        <f>6.01</f>
        <v>6.01</v>
      </c>
      <c r="G12" s="22">
        <f>11.52</f>
        <v>11.52</v>
      </c>
      <c r="H12" s="22">
        <f>13.88</f>
        <v>13.88</v>
      </c>
      <c r="I12" s="22">
        <f>10.45</f>
        <v>10.45</v>
      </c>
      <c r="J12" s="22">
        <f>6.62</f>
        <v>6.62</v>
      </c>
      <c r="K12" s="22">
        <f>6.92</f>
        <v>6.92</v>
      </c>
      <c r="L12" s="22">
        <f>2.96</f>
        <v>2.96</v>
      </c>
      <c r="M12" s="21"/>
      <c r="N12" s="22">
        <f t="shared" si="1"/>
        <v>60</v>
      </c>
    </row>
    <row r="13">
      <c r="A13" s="20" t="s">
        <v>36</v>
      </c>
      <c r="B13" s="23">
        <f t="shared" ref="B13:M13" si="3">(B11)+(B12)</f>
        <v>0</v>
      </c>
      <c r="C13" s="23">
        <f t="shared" si="3"/>
        <v>0</v>
      </c>
      <c r="D13" s="23">
        <f t="shared" si="3"/>
        <v>0</v>
      </c>
      <c r="E13" s="23">
        <f t="shared" si="3"/>
        <v>1.64</v>
      </c>
      <c r="F13" s="23">
        <f t="shared" si="3"/>
        <v>6.01</v>
      </c>
      <c r="G13" s="23">
        <f t="shared" si="3"/>
        <v>11.52</v>
      </c>
      <c r="H13" s="23">
        <f t="shared" si="3"/>
        <v>13.88</v>
      </c>
      <c r="I13" s="23">
        <f t="shared" si="3"/>
        <v>10.45</v>
      </c>
      <c r="J13" s="23">
        <f t="shared" si="3"/>
        <v>6.62</v>
      </c>
      <c r="K13" s="23">
        <f t="shared" si="3"/>
        <v>6.92</v>
      </c>
      <c r="L13" s="23">
        <f t="shared" si="3"/>
        <v>2.96</v>
      </c>
      <c r="M13" s="23">
        <f t="shared" si="3"/>
        <v>0</v>
      </c>
      <c r="N13" s="23">
        <f t="shared" si="1"/>
        <v>60</v>
      </c>
    </row>
    <row r="14">
      <c r="A14" s="20" t="s">
        <v>37</v>
      </c>
      <c r="B14" s="23">
        <f t="shared" ref="B14:M14" si="4">(B10)+(B13)</f>
        <v>28486.32</v>
      </c>
      <c r="C14" s="23">
        <f t="shared" si="4"/>
        <v>28033.68</v>
      </c>
      <c r="D14" s="23">
        <f t="shared" si="4"/>
        <v>26418</v>
      </c>
      <c r="E14" s="23">
        <f t="shared" si="4"/>
        <v>28013.28</v>
      </c>
      <c r="F14" s="23">
        <f t="shared" si="4"/>
        <v>30147.73</v>
      </c>
      <c r="G14" s="23">
        <f t="shared" si="4"/>
        <v>42062.87</v>
      </c>
      <c r="H14" s="23">
        <f t="shared" si="4"/>
        <v>31742.27</v>
      </c>
      <c r="I14" s="23">
        <f t="shared" si="4"/>
        <v>25115.64</v>
      </c>
      <c r="J14" s="23">
        <f t="shared" si="4"/>
        <v>28181.16</v>
      </c>
      <c r="K14" s="23">
        <f t="shared" si="4"/>
        <v>30729.53</v>
      </c>
      <c r="L14" s="23">
        <f t="shared" si="4"/>
        <v>27208.64</v>
      </c>
      <c r="M14" s="23">
        <f t="shared" si="4"/>
        <v>21946.36</v>
      </c>
      <c r="N14" s="23">
        <f t="shared" si="1"/>
        <v>348085.48</v>
      </c>
    </row>
    <row r="15">
      <c r="A15" s="20" t="s">
        <v>38</v>
      </c>
      <c r="B15" s="23">
        <f t="shared" ref="B15:M15" si="5">(B14)-(0)</f>
        <v>28486.32</v>
      </c>
      <c r="C15" s="23">
        <f t="shared" si="5"/>
        <v>28033.68</v>
      </c>
      <c r="D15" s="23">
        <f t="shared" si="5"/>
        <v>26418</v>
      </c>
      <c r="E15" s="23">
        <f t="shared" si="5"/>
        <v>28013.28</v>
      </c>
      <c r="F15" s="23">
        <f t="shared" si="5"/>
        <v>30147.73</v>
      </c>
      <c r="G15" s="23">
        <f t="shared" si="5"/>
        <v>42062.87</v>
      </c>
      <c r="H15" s="23">
        <f t="shared" si="5"/>
        <v>31742.27</v>
      </c>
      <c r="I15" s="23">
        <f t="shared" si="5"/>
        <v>25115.64</v>
      </c>
      <c r="J15" s="23">
        <f t="shared" si="5"/>
        <v>28181.16</v>
      </c>
      <c r="K15" s="23">
        <f t="shared" si="5"/>
        <v>30729.53</v>
      </c>
      <c r="L15" s="23">
        <f t="shared" si="5"/>
        <v>27208.64</v>
      </c>
      <c r="M15" s="23">
        <f t="shared" si="5"/>
        <v>21946.36</v>
      </c>
      <c r="N15" s="23">
        <f t="shared" si="1"/>
        <v>348085.48</v>
      </c>
    </row>
    <row r="16">
      <c r="A16" s="20" t="s">
        <v>39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>
      <c r="A17" s="20" t="s">
        <v>40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>
        <f t="shared" ref="N17:N48" si="6">(((((((((((B17)+(C17))+(D17))+(E17))+(F17))+(G17))+(H17))+(I17))+(J17))+(K17))+(L17))+(M17)</f>
        <v>0</v>
      </c>
    </row>
    <row r="18">
      <c r="A18" s="20" t="s">
        <v>41</v>
      </c>
      <c r="B18" s="21"/>
      <c r="C18" s="21"/>
      <c r="D18" s="21"/>
      <c r="E18" s="22">
        <f>174.24</f>
        <v>174.24</v>
      </c>
      <c r="F18" s="21"/>
      <c r="G18" s="21"/>
      <c r="H18" s="21"/>
      <c r="I18" s="21"/>
      <c r="J18" s="21"/>
      <c r="K18" s="21"/>
      <c r="L18" s="22">
        <f>219</f>
        <v>219</v>
      </c>
      <c r="M18" s="21"/>
      <c r="N18" s="22">
        <f t="shared" si="6"/>
        <v>393.24</v>
      </c>
    </row>
    <row r="19">
      <c r="A19" s="20" t="s">
        <v>42</v>
      </c>
      <c r="B19" s="23">
        <f t="shared" ref="B19:M19" si="7">(B17)+(B18)</f>
        <v>0</v>
      </c>
      <c r="C19" s="23">
        <f t="shared" si="7"/>
        <v>0</v>
      </c>
      <c r="D19" s="23">
        <f t="shared" si="7"/>
        <v>0</v>
      </c>
      <c r="E19" s="23">
        <f t="shared" si="7"/>
        <v>174.24</v>
      </c>
      <c r="F19" s="23">
        <f t="shared" si="7"/>
        <v>0</v>
      </c>
      <c r="G19" s="23">
        <f t="shared" si="7"/>
        <v>0</v>
      </c>
      <c r="H19" s="23">
        <f t="shared" si="7"/>
        <v>0</v>
      </c>
      <c r="I19" s="23">
        <f t="shared" si="7"/>
        <v>0</v>
      </c>
      <c r="J19" s="23">
        <f t="shared" si="7"/>
        <v>0</v>
      </c>
      <c r="K19" s="23">
        <f t="shared" si="7"/>
        <v>0</v>
      </c>
      <c r="L19" s="23">
        <f t="shared" si="7"/>
        <v>219</v>
      </c>
      <c r="M19" s="23">
        <f t="shared" si="7"/>
        <v>0</v>
      </c>
      <c r="N19" s="23">
        <f t="shared" si="6"/>
        <v>393.24</v>
      </c>
    </row>
    <row r="20">
      <c r="A20" s="20" t="s">
        <v>43</v>
      </c>
      <c r="B20" s="21"/>
      <c r="C20" s="21"/>
      <c r="D20" s="21"/>
      <c r="E20" s="21"/>
      <c r="F20" s="21"/>
      <c r="G20" s="21"/>
      <c r="H20" s="21"/>
      <c r="I20" s="22">
        <f>230</f>
        <v>230</v>
      </c>
      <c r="J20" s="21"/>
      <c r="K20" s="21"/>
      <c r="L20" s="21"/>
      <c r="M20" s="21"/>
      <c r="N20" s="22">
        <f t="shared" si="6"/>
        <v>230</v>
      </c>
    </row>
    <row r="21" ht="15.75" customHeight="1">
      <c r="A21" s="20" t="s">
        <v>44</v>
      </c>
      <c r="B21" s="21"/>
      <c r="C21" s="21"/>
      <c r="D21" s="21"/>
      <c r="E21" s="21"/>
      <c r="F21" s="21"/>
      <c r="G21" s="22">
        <f>240.19</f>
        <v>240.19</v>
      </c>
      <c r="H21" s="21"/>
      <c r="I21" s="22">
        <f>219</f>
        <v>219</v>
      </c>
      <c r="J21" s="21"/>
      <c r="K21" s="22">
        <f>438</f>
        <v>438</v>
      </c>
      <c r="L21" s="21"/>
      <c r="M21" s="21"/>
      <c r="N21" s="22">
        <f t="shared" si="6"/>
        <v>897.19</v>
      </c>
    </row>
    <row r="22" ht="15.75" customHeight="1">
      <c r="A22" s="20" t="s">
        <v>45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>
        <f t="shared" si="6"/>
        <v>0</v>
      </c>
    </row>
    <row r="23" ht="15.75" customHeight="1">
      <c r="A23" s="20" t="s">
        <v>46</v>
      </c>
      <c r="B23" s="22">
        <f>1914.08</f>
        <v>1914.08</v>
      </c>
      <c r="C23" s="22">
        <f>1865.92</f>
        <v>1865.92</v>
      </c>
      <c r="D23" s="22">
        <f>1788</f>
        <v>1788</v>
      </c>
      <c r="E23" s="24">
        <v>1960.93</v>
      </c>
      <c r="F23" s="22">
        <f>1914.4</f>
        <v>1914.4</v>
      </c>
      <c r="G23" s="22">
        <f>1898.72</f>
        <v>1898.72</v>
      </c>
      <c r="H23" s="22">
        <f>1785.92</f>
        <v>1785.92</v>
      </c>
      <c r="I23" s="22">
        <f>1916.72</f>
        <v>1916.72</v>
      </c>
      <c r="J23" s="22">
        <f>1838</f>
        <v>1838</v>
      </c>
      <c r="K23" s="22">
        <f>2035.84</f>
        <v>2035.84</v>
      </c>
      <c r="L23" s="22">
        <f>1916.24</f>
        <v>1916.24</v>
      </c>
      <c r="M23" s="22">
        <f>2029.04</f>
        <v>2029.04</v>
      </c>
      <c r="N23" s="22">
        <f t="shared" si="6"/>
        <v>22863.81</v>
      </c>
    </row>
    <row r="24" ht="15.75" customHeight="1">
      <c r="A24" s="20" t="s">
        <v>47</v>
      </c>
      <c r="B24" s="21"/>
      <c r="C24" s="21"/>
      <c r="D24" s="21"/>
      <c r="E24" s="22">
        <f>1700</f>
        <v>1700</v>
      </c>
      <c r="F24" s="21"/>
      <c r="G24" s="21"/>
      <c r="H24" s="21"/>
      <c r="I24" s="22">
        <f>530</f>
        <v>530</v>
      </c>
      <c r="J24" s="21"/>
      <c r="K24" s="21"/>
      <c r="L24" s="21"/>
      <c r="M24" s="21"/>
      <c r="N24" s="22">
        <f t="shared" si="6"/>
        <v>2230</v>
      </c>
    </row>
    <row r="25" ht="15.75" customHeight="1">
      <c r="A25" s="20" t="s">
        <v>48</v>
      </c>
      <c r="B25" s="23">
        <f t="shared" ref="B25:M25" si="8">((B22)+(B23))+(B24)</f>
        <v>1914.08</v>
      </c>
      <c r="C25" s="23">
        <f t="shared" si="8"/>
        <v>1865.92</v>
      </c>
      <c r="D25" s="23">
        <f t="shared" si="8"/>
        <v>1788</v>
      </c>
      <c r="E25" s="23">
        <f t="shared" si="8"/>
        <v>3660.93</v>
      </c>
      <c r="F25" s="23">
        <f t="shared" si="8"/>
        <v>1914.4</v>
      </c>
      <c r="G25" s="23">
        <f t="shared" si="8"/>
        <v>1898.72</v>
      </c>
      <c r="H25" s="23">
        <f t="shared" si="8"/>
        <v>1785.92</v>
      </c>
      <c r="I25" s="23">
        <f t="shared" si="8"/>
        <v>2446.72</v>
      </c>
      <c r="J25" s="23">
        <f t="shared" si="8"/>
        <v>1838</v>
      </c>
      <c r="K25" s="23">
        <f t="shared" si="8"/>
        <v>2035.84</v>
      </c>
      <c r="L25" s="23">
        <f t="shared" si="8"/>
        <v>1916.24</v>
      </c>
      <c r="M25" s="23">
        <f t="shared" si="8"/>
        <v>2029.04</v>
      </c>
      <c r="N25" s="23">
        <f t="shared" si="6"/>
        <v>25093.81</v>
      </c>
    </row>
    <row r="26" ht="15.75" customHeight="1">
      <c r="A26" s="20" t="s">
        <v>49</v>
      </c>
      <c r="B26" s="22">
        <f>651.84</f>
        <v>651.84</v>
      </c>
      <c r="C26" s="22">
        <f>373.1</f>
        <v>373.1</v>
      </c>
      <c r="D26" s="21"/>
      <c r="E26" s="22">
        <f>1331.09</f>
        <v>1331.09</v>
      </c>
      <c r="F26" s="22">
        <f>1505.49</f>
        <v>1505.49</v>
      </c>
      <c r="G26" s="22">
        <f>1620</f>
        <v>1620</v>
      </c>
      <c r="H26" s="22">
        <f>1847.34</f>
        <v>1847.34</v>
      </c>
      <c r="I26" s="22">
        <f>6792.38</f>
        <v>6792.38</v>
      </c>
      <c r="J26" s="22">
        <f>1182.09</f>
        <v>1182.09</v>
      </c>
      <c r="K26" s="22">
        <f>2887.52</f>
        <v>2887.52</v>
      </c>
      <c r="L26" s="22">
        <f>1143.54</f>
        <v>1143.54</v>
      </c>
      <c r="M26" s="22">
        <f>1053.71</f>
        <v>1053.71</v>
      </c>
      <c r="N26" s="22">
        <f t="shared" si="6"/>
        <v>20388.1</v>
      </c>
    </row>
    <row r="27" ht="15.75" customHeight="1">
      <c r="A27" s="20" t="s">
        <v>50</v>
      </c>
      <c r="B27" s="21"/>
      <c r="C27" s="22">
        <f>36.92</f>
        <v>36.92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2">
        <f t="shared" si="6"/>
        <v>36.92</v>
      </c>
    </row>
    <row r="28" ht="15.75" customHeight="1">
      <c r="A28" s="20" t="s">
        <v>51</v>
      </c>
      <c r="B28" s="21"/>
      <c r="C28" s="21"/>
      <c r="D28" s="21"/>
      <c r="E28" s="21"/>
      <c r="F28" s="21"/>
      <c r="G28" s="22">
        <f>240</f>
        <v>240</v>
      </c>
      <c r="H28" s="21"/>
      <c r="I28" s="21"/>
      <c r="J28" s="21"/>
      <c r="K28" s="21"/>
      <c r="L28" s="21"/>
      <c r="M28" s="21"/>
      <c r="N28" s="22">
        <f t="shared" si="6"/>
        <v>240</v>
      </c>
    </row>
    <row r="29" ht="15.75" customHeight="1">
      <c r="A29" s="20" t="s">
        <v>52</v>
      </c>
      <c r="B29" s="22">
        <f>15.15</f>
        <v>15.15</v>
      </c>
      <c r="C29" s="22">
        <f>19.43</f>
        <v>19.43</v>
      </c>
      <c r="D29" s="22">
        <f>15.81</f>
        <v>15.81</v>
      </c>
      <c r="E29" s="22">
        <f>93.04</f>
        <v>93.04</v>
      </c>
      <c r="F29" s="21"/>
      <c r="G29" s="22">
        <f>163.97</f>
        <v>163.97</v>
      </c>
      <c r="H29" s="21"/>
      <c r="I29" s="21"/>
      <c r="J29" s="21"/>
      <c r="K29" s="21"/>
      <c r="L29" s="21"/>
      <c r="M29" s="21"/>
      <c r="N29" s="22">
        <f t="shared" si="6"/>
        <v>307.4</v>
      </c>
    </row>
    <row r="30" ht="15.75" customHeight="1">
      <c r="A30" s="20" t="s">
        <v>53</v>
      </c>
      <c r="B30" s="21"/>
      <c r="C30" s="21"/>
      <c r="D30" s="21"/>
      <c r="E30" s="21"/>
      <c r="F30" s="22">
        <f>238.34</f>
        <v>238.34</v>
      </c>
      <c r="G30" s="21"/>
      <c r="H30" s="21"/>
      <c r="I30" s="22">
        <f>608.39</f>
        <v>608.39</v>
      </c>
      <c r="J30" s="21"/>
      <c r="K30" s="21"/>
      <c r="L30" s="21"/>
      <c r="M30" s="21"/>
      <c r="N30" s="22">
        <f t="shared" si="6"/>
        <v>846.73</v>
      </c>
    </row>
    <row r="31" ht="15.75" customHeight="1">
      <c r="A31" s="20" t="s">
        <v>54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2">
        <f t="shared" si="6"/>
        <v>0</v>
      </c>
    </row>
    <row r="32" ht="15.75" customHeight="1">
      <c r="A32" s="20" t="s">
        <v>55</v>
      </c>
      <c r="B32" s="22">
        <f>2244.08</f>
        <v>2244.08</v>
      </c>
      <c r="C32" s="22">
        <f>4909.46</f>
        <v>4909.46</v>
      </c>
      <c r="D32" s="22">
        <f>7515.57</f>
        <v>7515.57</v>
      </c>
      <c r="E32" s="22">
        <f>1358.77</f>
        <v>1358.77</v>
      </c>
      <c r="F32" s="21"/>
      <c r="G32" s="21"/>
      <c r="H32" s="22">
        <f>1476.79</f>
        <v>1476.79</v>
      </c>
      <c r="I32" s="22">
        <f>2026.13</f>
        <v>2026.13</v>
      </c>
      <c r="J32" s="22">
        <f>1889.14</f>
        <v>1889.14</v>
      </c>
      <c r="K32" s="22">
        <f>1972.56</f>
        <v>1972.56</v>
      </c>
      <c r="L32" s="22">
        <f>1401.16</f>
        <v>1401.16</v>
      </c>
      <c r="M32" s="21"/>
      <c r="N32" s="22">
        <f t="shared" si="6"/>
        <v>24793.66</v>
      </c>
    </row>
    <row r="33" ht="15.75" customHeight="1">
      <c r="A33" s="20" t="s">
        <v>56</v>
      </c>
      <c r="B33" s="22">
        <f>258.38</f>
        <v>258.38</v>
      </c>
      <c r="C33" s="22">
        <f>292.3</f>
        <v>292.3</v>
      </c>
      <c r="D33" s="22">
        <f>255.1</f>
        <v>255.1</v>
      </c>
      <c r="E33" s="22">
        <f>249.26</f>
        <v>249.26</v>
      </c>
      <c r="F33" s="22">
        <f>1871.38</f>
        <v>1871.38</v>
      </c>
      <c r="G33" s="22">
        <f>211.5</f>
        <v>211.5</v>
      </c>
      <c r="H33" s="22">
        <f>191</f>
        <v>191</v>
      </c>
      <c r="I33" s="22">
        <f>372.99</f>
        <v>372.99</v>
      </c>
      <c r="J33" s="22">
        <f>15.12</f>
        <v>15.12</v>
      </c>
      <c r="K33" s="22">
        <f>239.11</f>
        <v>239.11</v>
      </c>
      <c r="L33" s="22">
        <f>210.01</f>
        <v>210.01</v>
      </c>
      <c r="M33" s="21"/>
      <c r="N33" s="22">
        <f t="shared" si="6"/>
        <v>4166.15</v>
      </c>
    </row>
    <row r="34" ht="15.75" customHeight="1">
      <c r="A34" s="20" t="s">
        <v>57</v>
      </c>
      <c r="B34" s="22">
        <f>1366.33</f>
        <v>1366.33</v>
      </c>
      <c r="C34" s="22">
        <f>1485.52</f>
        <v>1485.52</v>
      </c>
      <c r="D34" s="22">
        <f>1469.4</f>
        <v>1469.4</v>
      </c>
      <c r="E34" s="22">
        <f>1778.9</f>
        <v>1778.9</v>
      </c>
      <c r="F34" s="22">
        <f>1921.74</f>
        <v>1921.74</v>
      </c>
      <c r="G34" s="22">
        <f>1953.98</f>
        <v>1953.98</v>
      </c>
      <c r="H34" s="22">
        <f>1618.69</f>
        <v>1618.69</v>
      </c>
      <c r="I34" s="22">
        <f>1967.4</f>
        <v>1967.4</v>
      </c>
      <c r="J34" s="22">
        <f>1864.23</f>
        <v>1864.23</v>
      </c>
      <c r="K34" s="22">
        <f>1796.53</f>
        <v>1796.53</v>
      </c>
      <c r="L34" s="22">
        <f>1638.56</f>
        <v>1638.56</v>
      </c>
      <c r="M34" s="21"/>
      <c r="N34" s="22">
        <f t="shared" si="6"/>
        <v>18861.28</v>
      </c>
    </row>
    <row r="35" ht="15.75" customHeight="1">
      <c r="A35" s="20" t="s">
        <v>58</v>
      </c>
      <c r="B35" s="21"/>
      <c r="C35" s="21"/>
      <c r="D35" s="21"/>
      <c r="E35" s="21"/>
      <c r="F35" s="22">
        <f>262.68</f>
        <v>262.68</v>
      </c>
      <c r="G35" s="22">
        <f>114.98</f>
        <v>114.98</v>
      </c>
      <c r="H35" s="21"/>
      <c r="I35" s="21"/>
      <c r="J35" s="21"/>
      <c r="K35" s="21"/>
      <c r="L35" s="21"/>
      <c r="M35" s="21"/>
      <c r="N35" s="22">
        <f t="shared" si="6"/>
        <v>377.66</v>
      </c>
    </row>
    <row r="36" ht="15.75" customHeight="1">
      <c r="A36" s="20" t="s">
        <v>59</v>
      </c>
      <c r="B36" s="21"/>
      <c r="C36" s="22">
        <f>2394.05</f>
        <v>2394.05</v>
      </c>
      <c r="D36" s="22">
        <f>1068.37</f>
        <v>1068.37</v>
      </c>
      <c r="E36" s="21"/>
      <c r="F36" s="21"/>
      <c r="G36" s="22">
        <f>1591.66</f>
        <v>1591.66</v>
      </c>
      <c r="H36" s="21"/>
      <c r="I36" s="22">
        <f>2333.39</f>
        <v>2333.39</v>
      </c>
      <c r="J36" s="21"/>
      <c r="K36" s="22">
        <f>1310.53</f>
        <v>1310.53</v>
      </c>
      <c r="L36" s="22">
        <f>2616.5</f>
        <v>2616.5</v>
      </c>
      <c r="M36" s="21"/>
      <c r="N36" s="22">
        <f t="shared" si="6"/>
        <v>11314.5</v>
      </c>
    </row>
    <row r="37" ht="15.75" customHeight="1">
      <c r="A37" s="20" t="s">
        <v>60</v>
      </c>
      <c r="B37" s="23">
        <f t="shared" ref="B37:M37" si="9">(((((B31)+(B32))+(B33))+(B34))+(B35))+(B36)</f>
        <v>3868.79</v>
      </c>
      <c r="C37" s="23">
        <f t="shared" si="9"/>
        <v>9081.33</v>
      </c>
      <c r="D37" s="23">
        <f t="shared" si="9"/>
        <v>10308.44</v>
      </c>
      <c r="E37" s="23">
        <f t="shared" si="9"/>
        <v>3386.93</v>
      </c>
      <c r="F37" s="23">
        <f t="shared" si="9"/>
        <v>4055.8</v>
      </c>
      <c r="G37" s="23">
        <f t="shared" si="9"/>
        <v>3872.12</v>
      </c>
      <c r="H37" s="23">
        <f t="shared" si="9"/>
        <v>3286.48</v>
      </c>
      <c r="I37" s="23">
        <f t="shared" si="9"/>
        <v>6699.91</v>
      </c>
      <c r="J37" s="23">
        <f t="shared" si="9"/>
        <v>3768.49</v>
      </c>
      <c r="K37" s="23">
        <f t="shared" si="9"/>
        <v>5318.73</v>
      </c>
      <c r="L37" s="23">
        <f t="shared" si="9"/>
        <v>5866.23</v>
      </c>
      <c r="M37" s="23">
        <f t="shared" si="9"/>
        <v>0</v>
      </c>
      <c r="N37" s="23">
        <f t="shared" si="6"/>
        <v>59513.25</v>
      </c>
    </row>
    <row r="38" ht="15.75" customHeight="1">
      <c r="A38" s="20" t="s">
        <v>61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2">
        <f t="shared" si="6"/>
        <v>0</v>
      </c>
    </row>
    <row r="39" ht="15.75" customHeight="1">
      <c r="A39" s="20" t="s">
        <v>62</v>
      </c>
      <c r="B39" s="22">
        <f>621</f>
        <v>621</v>
      </c>
      <c r="C39" s="22">
        <f>549</f>
        <v>549</v>
      </c>
      <c r="D39" s="22">
        <f>414</f>
        <v>414</v>
      </c>
      <c r="E39" s="22">
        <f>517.5</f>
        <v>517.5</v>
      </c>
      <c r="F39" s="22">
        <f>414</f>
        <v>414</v>
      </c>
      <c r="G39" s="22">
        <f>549</f>
        <v>549</v>
      </c>
      <c r="H39" s="22">
        <f>517.5</f>
        <v>517.5</v>
      </c>
      <c r="I39" s="22">
        <f>414</f>
        <v>414</v>
      </c>
      <c r="J39" s="22">
        <f>517.5</f>
        <v>517.5</v>
      </c>
      <c r="K39" s="22">
        <f>414</f>
        <v>414</v>
      </c>
      <c r="L39" s="22">
        <f>517.5</f>
        <v>517.5</v>
      </c>
      <c r="M39" s="22">
        <f>207</f>
        <v>207</v>
      </c>
      <c r="N39" s="22">
        <f t="shared" si="6"/>
        <v>5652</v>
      </c>
    </row>
    <row r="40" ht="15.75" customHeight="1">
      <c r="A40" s="20" t="s">
        <v>63</v>
      </c>
      <c r="B40" s="21"/>
      <c r="C40" s="22">
        <f>600</f>
        <v>600</v>
      </c>
      <c r="D40" s="21"/>
      <c r="E40" s="22">
        <f>690</f>
        <v>690</v>
      </c>
      <c r="F40" s="22">
        <f>660</f>
        <v>660</v>
      </c>
      <c r="G40" s="22">
        <f>495</f>
        <v>495</v>
      </c>
      <c r="H40" s="22">
        <f>1575</f>
        <v>1575</v>
      </c>
      <c r="I40" s="22">
        <f>660</f>
        <v>660</v>
      </c>
      <c r="J40" s="22">
        <f>495</f>
        <v>495</v>
      </c>
      <c r="K40" s="22">
        <f>765</f>
        <v>765</v>
      </c>
      <c r="L40" s="21"/>
      <c r="M40" s="22">
        <f>360</f>
        <v>360</v>
      </c>
      <c r="N40" s="22">
        <f t="shared" si="6"/>
        <v>6300</v>
      </c>
    </row>
    <row r="41" ht="15.75" customHeight="1">
      <c r="A41" s="20" t="s">
        <v>64</v>
      </c>
      <c r="B41" s="21"/>
      <c r="C41" s="21"/>
      <c r="D41" s="22">
        <f>420</f>
        <v>420</v>
      </c>
      <c r="E41" s="21"/>
      <c r="F41" s="21"/>
      <c r="G41" s="21"/>
      <c r="H41" s="21"/>
      <c r="I41" s="21"/>
      <c r="J41" s="21"/>
      <c r="K41" s="21"/>
      <c r="L41" s="21"/>
      <c r="M41" s="21"/>
      <c r="N41" s="22">
        <f t="shared" si="6"/>
        <v>420</v>
      </c>
    </row>
    <row r="42" ht="15.75" customHeight="1">
      <c r="A42" s="20" t="s">
        <v>65</v>
      </c>
      <c r="B42" s="21"/>
      <c r="C42" s="22">
        <f>301.13</f>
        <v>301.13</v>
      </c>
      <c r="D42" s="21"/>
      <c r="E42" s="21"/>
      <c r="F42" s="21"/>
      <c r="G42" s="22">
        <f>301.13</f>
        <v>301.13</v>
      </c>
      <c r="H42" s="21"/>
      <c r="I42" s="21"/>
      <c r="J42" s="21"/>
      <c r="K42" s="21"/>
      <c r="L42" s="21"/>
      <c r="M42" s="22">
        <f>301.13</f>
        <v>301.13</v>
      </c>
      <c r="N42" s="22">
        <f t="shared" si="6"/>
        <v>903.39</v>
      </c>
    </row>
    <row r="43" ht="15.75" customHeight="1">
      <c r="A43" s="20" t="s">
        <v>66</v>
      </c>
      <c r="B43" s="23">
        <f t="shared" ref="B43:M43" si="10">((((B38)+(B39))+(B40))+(B41))+(B42)</f>
        <v>621</v>
      </c>
      <c r="C43" s="23">
        <f t="shared" si="10"/>
        <v>1450.13</v>
      </c>
      <c r="D43" s="23">
        <f t="shared" si="10"/>
        <v>834</v>
      </c>
      <c r="E43" s="23">
        <f t="shared" si="10"/>
        <v>1207.5</v>
      </c>
      <c r="F43" s="23">
        <f t="shared" si="10"/>
        <v>1074</v>
      </c>
      <c r="G43" s="23">
        <f t="shared" si="10"/>
        <v>1345.13</v>
      </c>
      <c r="H43" s="23">
        <f t="shared" si="10"/>
        <v>2092.5</v>
      </c>
      <c r="I43" s="23">
        <f t="shared" si="10"/>
        <v>1074</v>
      </c>
      <c r="J43" s="23">
        <f t="shared" si="10"/>
        <v>1012.5</v>
      </c>
      <c r="K43" s="23">
        <f t="shared" si="10"/>
        <v>1179</v>
      </c>
      <c r="L43" s="23">
        <f t="shared" si="10"/>
        <v>517.5</v>
      </c>
      <c r="M43" s="23">
        <f t="shared" si="10"/>
        <v>868.13</v>
      </c>
      <c r="N43" s="23">
        <f t="shared" si="6"/>
        <v>13275.39</v>
      </c>
    </row>
    <row r="44" ht="15.75" customHeight="1">
      <c r="A44" s="20" t="s">
        <v>67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2">
        <f t="shared" si="6"/>
        <v>0</v>
      </c>
    </row>
    <row r="45" ht="15.75" customHeight="1">
      <c r="A45" s="20" t="s">
        <v>68</v>
      </c>
      <c r="B45" s="21"/>
      <c r="C45" s="21"/>
      <c r="D45" s="21"/>
      <c r="E45" s="21"/>
      <c r="F45" s="24"/>
      <c r="G45" s="24">
        <v>-13245.43</v>
      </c>
      <c r="H45" s="24"/>
      <c r="I45" s="21"/>
      <c r="J45" s="21"/>
      <c r="K45" s="21"/>
      <c r="L45" s="21"/>
      <c r="M45" s="25">
        <v>22850.74</v>
      </c>
      <c r="N45" s="22">
        <f t="shared" si="6"/>
        <v>9605.31</v>
      </c>
    </row>
    <row r="46" ht="15.75" customHeight="1">
      <c r="A46" s="20" t="s">
        <v>69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2">
        <f>23853</f>
        <v>23853</v>
      </c>
      <c r="M46" s="21"/>
      <c r="N46" s="22">
        <f t="shared" si="6"/>
        <v>23853</v>
      </c>
    </row>
    <row r="47" ht="15.75" customHeight="1">
      <c r="A47" s="20" t="s">
        <v>70</v>
      </c>
      <c r="B47" s="23">
        <f t="shared" ref="B47:M47" si="11">((B44)+(B45))+(B46)</f>
        <v>0</v>
      </c>
      <c r="C47" s="23">
        <f t="shared" si="11"/>
        <v>0</v>
      </c>
      <c r="D47" s="23">
        <f t="shared" si="11"/>
        <v>0</v>
      </c>
      <c r="E47" s="23">
        <f t="shared" si="11"/>
        <v>0</v>
      </c>
      <c r="F47" s="23">
        <f t="shared" si="11"/>
        <v>0</v>
      </c>
      <c r="G47" s="23">
        <f t="shared" si="11"/>
        <v>-13245.43</v>
      </c>
      <c r="H47" s="23">
        <f t="shared" si="11"/>
        <v>0</v>
      </c>
      <c r="I47" s="23">
        <f t="shared" si="11"/>
        <v>0</v>
      </c>
      <c r="J47" s="23">
        <f t="shared" si="11"/>
        <v>0</v>
      </c>
      <c r="K47" s="23">
        <f t="shared" si="11"/>
        <v>0</v>
      </c>
      <c r="L47" s="23">
        <f t="shared" si="11"/>
        <v>23853</v>
      </c>
      <c r="M47" s="23">
        <f t="shared" si="11"/>
        <v>22850.74</v>
      </c>
      <c r="N47" s="23">
        <f t="shared" si="6"/>
        <v>33458.31</v>
      </c>
    </row>
    <row r="48" ht="15.75" customHeight="1">
      <c r="A48" s="20" t="s">
        <v>71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>
        <f t="shared" si="6"/>
        <v>0</v>
      </c>
    </row>
    <row r="49" ht="15.75" customHeight="1">
      <c r="A49" s="20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ht="15.75" customHeight="1">
      <c r="A50" s="20" t="s">
        <v>72</v>
      </c>
      <c r="B50" s="23">
        <f t="shared" ref="B50:M50" si="12">(B48)+(B49)</f>
        <v>0</v>
      </c>
      <c r="C50" s="23">
        <f t="shared" si="12"/>
        <v>0</v>
      </c>
      <c r="D50" s="23">
        <f t="shared" si="12"/>
        <v>0</v>
      </c>
      <c r="E50" s="23">
        <f t="shared" si="12"/>
        <v>0</v>
      </c>
      <c r="F50" s="23">
        <f t="shared" si="12"/>
        <v>0</v>
      </c>
      <c r="G50" s="23">
        <f t="shared" si="12"/>
        <v>0</v>
      </c>
      <c r="H50" s="23">
        <f t="shared" si="12"/>
        <v>0</v>
      </c>
      <c r="I50" s="23">
        <f t="shared" si="12"/>
        <v>0</v>
      </c>
      <c r="J50" s="23">
        <f t="shared" si="12"/>
        <v>0</v>
      </c>
      <c r="K50" s="23">
        <f t="shared" si="12"/>
        <v>0</v>
      </c>
      <c r="L50" s="23">
        <f t="shared" si="12"/>
        <v>0</v>
      </c>
      <c r="M50" s="23">
        <f t="shared" si="12"/>
        <v>0</v>
      </c>
      <c r="N50" s="23">
        <f>(((((((((((B50)+(C50))+(D50))+(E50))+(F50))+(G50))+(H50))+(I50))+(J50))+(K50))+(L50))+(M50)</f>
        <v>0</v>
      </c>
    </row>
    <row r="51" ht="15.75" customHeight="1">
      <c r="A51" s="20"/>
      <c r="B51" s="22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2"/>
    </row>
    <row r="52" ht="15.75" customHeight="1">
      <c r="A52" s="20" t="s">
        <v>73</v>
      </c>
      <c r="B52" s="23">
        <f t="shared" ref="B52:M52" si="13">(((((((((((((B19)+(B20))+(B21))+(B25))+(B26))+(B27))+(B28))+(B29))+(B30))+(B37))+(B43))+(B47))+(B50))+(B51)</f>
        <v>7070.86</v>
      </c>
      <c r="C52" s="23">
        <f t="shared" si="13"/>
        <v>12826.83</v>
      </c>
      <c r="D52" s="23">
        <f t="shared" si="13"/>
        <v>12946.25</v>
      </c>
      <c r="E52" s="23">
        <f t="shared" si="13"/>
        <v>9853.73</v>
      </c>
      <c r="F52" s="23">
        <f t="shared" si="13"/>
        <v>8788.03</v>
      </c>
      <c r="G52" s="23">
        <f t="shared" si="13"/>
        <v>-3865.3</v>
      </c>
      <c r="H52" s="23">
        <f t="shared" si="13"/>
        <v>9012.24</v>
      </c>
      <c r="I52" s="23">
        <f t="shared" si="13"/>
        <v>18070.4</v>
      </c>
      <c r="J52" s="23">
        <f t="shared" si="13"/>
        <v>7801.08</v>
      </c>
      <c r="K52" s="23">
        <f t="shared" si="13"/>
        <v>11859.09</v>
      </c>
      <c r="L52" s="23">
        <f t="shared" si="13"/>
        <v>33515.51</v>
      </c>
      <c r="M52" s="23">
        <f t="shared" si="13"/>
        <v>26801.62</v>
      </c>
      <c r="N52" s="23">
        <f t="shared" ref="N52:N54" si="15">(((((((((((B52)+(C52))+(D52))+(E52))+(F52))+(G52))+(H52))+(I52))+(J52))+(K52))+(L52))+(M52)</f>
        <v>154680.34</v>
      </c>
    </row>
    <row r="53" ht="15.75" customHeight="1">
      <c r="A53" s="20" t="s">
        <v>74</v>
      </c>
      <c r="B53" s="23">
        <f t="shared" ref="B53:M53" si="14">(B15)-(B52)</f>
        <v>21415.46</v>
      </c>
      <c r="C53" s="23">
        <f t="shared" si="14"/>
        <v>15206.85</v>
      </c>
      <c r="D53" s="23">
        <f t="shared" si="14"/>
        <v>13471.75</v>
      </c>
      <c r="E53" s="23">
        <f t="shared" si="14"/>
        <v>18159.55</v>
      </c>
      <c r="F53" s="23">
        <f t="shared" si="14"/>
        <v>21359.7</v>
      </c>
      <c r="G53" s="23">
        <f t="shared" si="14"/>
        <v>45928.17</v>
      </c>
      <c r="H53" s="23">
        <f t="shared" si="14"/>
        <v>22730.03</v>
      </c>
      <c r="I53" s="23">
        <f t="shared" si="14"/>
        <v>7045.24</v>
      </c>
      <c r="J53" s="23">
        <f t="shared" si="14"/>
        <v>20380.08</v>
      </c>
      <c r="K53" s="23">
        <f t="shared" si="14"/>
        <v>18870.44</v>
      </c>
      <c r="L53" s="23">
        <f t="shared" si="14"/>
        <v>-6306.87</v>
      </c>
      <c r="M53" s="23">
        <f t="shared" si="14"/>
        <v>-4855.26</v>
      </c>
      <c r="N53" s="23">
        <f t="shared" si="15"/>
        <v>193405.14</v>
      </c>
    </row>
    <row r="54" ht="15.75" customHeight="1">
      <c r="A54" s="20" t="s">
        <v>75</v>
      </c>
      <c r="B54" s="23">
        <f t="shared" ref="B54:M54" si="16">(B53)+(0)</f>
        <v>21415.46</v>
      </c>
      <c r="C54" s="23">
        <f t="shared" si="16"/>
        <v>15206.85</v>
      </c>
      <c r="D54" s="23">
        <f t="shared" si="16"/>
        <v>13471.75</v>
      </c>
      <c r="E54" s="23">
        <f t="shared" si="16"/>
        <v>18159.55</v>
      </c>
      <c r="F54" s="23">
        <f t="shared" si="16"/>
        <v>21359.7</v>
      </c>
      <c r="G54" s="23">
        <f t="shared" si="16"/>
        <v>45928.17</v>
      </c>
      <c r="H54" s="23">
        <f t="shared" si="16"/>
        <v>22730.03</v>
      </c>
      <c r="I54" s="23">
        <f t="shared" si="16"/>
        <v>7045.24</v>
      </c>
      <c r="J54" s="23">
        <f t="shared" si="16"/>
        <v>20380.08</v>
      </c>
      <c r="K54" s="23">
        <f t="shared" si="16"/>
        <v>18870.44</v>
      </c>
      <c r="L54" s="23">
        <f t="shared" si="16"/>
        <v>-6306.87</v>
      </c>
      <c r="M54" s="23">
        <f t="shared" si="16"/>
        <v>-4855.26</v>
      </c>
      <c r="N54" s="23">
        <f t="shared" si="15"/>
        <v>193405.14</v>
      </c>
    </row>
    <row r="55" ht="15.75" customHeight="1">
      <c r="A55" s="20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ht="15.75" customHeight="1"/>
    <row r="57" ht="15.75" customHeight="1"/>
    <row r="58" ht="15.75" customHeight="1">
      <c r="A58" s="26" t="s">
        <v>76</v>
      </c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N1"/>
    <mergeCell ref="A2:N2"/>
    <mergeCell ref="A3:N3"/>
    <mergeCell ref="A58:N5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43"/>
    <col customWidth="1" min="2" max="8" width="9.43"/>
    <col customWidth="1" min="9" max="9" width="10.29"/>
    <col customWidth="1" min="10" max="13" width="9.43"/>
    <col customWidth="1" min="14" max="14" width="10.29"/>
    <col customWidth="1" min="15" max="26" width="8.71"/>
  </cols>
  <sheetData>
    <row r="1">
      <c r="A1" s="16" t="s">
        <v>12</v>
      </c>
    </row>
    <row r="2">
      <c r="A2" s="16" t="s">
        <v>13</v>
      </c>
    </row>
    <row r="3">
      <c r="A3" s="17" t="s">
        <v>77</v>
      </c>
    </row>
    <row r="5">
      <c r="A5" s="18"/>
      <c r="B5" s="19" t="s">
        <v>78</v>
      </c>
      <c r="C5" s="19" t="s">
        <v>79</v>
      </c>
      <c r="D5" s="19" t="s">
        <v>80</v>
      </c>
      <c r="E5" s="19" t="s">
        <v>81</v>
      </c>
      <c r="F5" s="19" t="s">
        <v>82</v>
      </c>
      <c r="G5" s="19" t="s">
        <v>83</v>
      </c>
      <c r="H5" s="19" t="s">
        <v>84</v>
      </c>
      <c r="I5" s="19" t="s">
        <v>85</v>
      </c>
      <c r="J5" s="19" t="s">
        <v>86</v>
      </c>
      <c r="K5" s="19" t="s">
        <v>87</v>
      </c>
      <c r="L5" s="19" t="s">
        <v>88</v>
      </c>
      <c r="M5" s="19" t="s">
        <v>89</v>
      </c>
      <c r="N5" s="19" t="s">
        <v>28</v>
      </c>
    </row>
    <row r="6">
      <c r="A6" s="20" t="s">
        <v>29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>
      <c r="A7" s="20" t="s">
        <v>30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2">
        <f t="shared" ref="N7:N11" si="1">(((((((((((B7)+(C7))+(D7))+(E7))+(F7))+(G7))+(H7))+(I7))+(J7))+(K7))+(L7))+(M7)</f>
        <v>0</v>
      </c>
    </row>
    <row r="8">
      <c r="A8" s="20" t="s">
        <v>31</v>
      </c>
      <c r="B8" s="22">
        <f>24439.84</f>
        <v>24439.84</v>
      </c>
      <c r="C8" s="22">
        <f>22751.54</f>
        <v>22751.54</v>
      </c>
      <c r="D8" s="22">
        <f>26983.72</f>
        <v>26983.72</v>
      </c>
      <c r="E8" s="22">
        <f>25547.51</f>
        <v>25547.51</v>
      </c>
      <c r="F8" s="22">
        <f>27113.94</f>
        <v>27113.94</v>
      </c>
      <c r="G8" s="22">
        <f>30745.92</f>
        <v>30745.92</v>
      </c>
      <c r="H8" s="22">
        <f>32649</f>
        <v>32649</v>
      </c>
      <c r="I8" s="22">
        <f>26070.61</f>
        <v>26070.61</v>
      </c>
      <c r="J8" s="22">
        <f>33949.14</f>
        <v>33949.14</v>
      </c>
      <c r="K8" s="22">
        <f>27808.76</f>
        <v>27808.76</v>
      </c>
      <c r="L8" s="22">
        <f>27035</f>
        <v>27035</v>
      </c>
      <c r="M8" s="22">
        <f>30606</f>
        <v>30606</v>
      </c>
      <c r="N8" s="22">
        <f t="shared" si="1"/>
        <v>335700.98</v>
      </c>
    </row>
    <row r="9">
      <c r="A9" s="20" t="s">
        <v>32</v>
      </c>
      <c r="B9" s="21"/>
      <c r="C9" s="21"/>
      <c r="D9" s="21"/>
      <c r="E9" s="21"/>
      <c r="F9" s="21"/>
      <c r="G9" s="21"/>
      <c r="H9" s="21"/>
      <c r="I9" s="22">
        <f>-835</f>
        <v>-835</v>
      </c>
      <c r="J9" s="22">
        <f>-1650</f>
        <v>-1650</v>
      </c>
      <c r="K9" s="21"/>
      <c r="L9" s="21"/>
      <c r="M9" s="21"/>
      <c r="N9" s="22">
        <f t="shared" si="1"/>
        <v>-2485</v>
      </c>
    </row>
    <row r="10">
      <c r="A10" s="20" t="s">
        <v>33</v>
      </c>
      <c r="B10" s="23">
        <f t="shared" ref="B10:M10" si="2">((B7)+(B8))+(B9)</f>
        <v>24439.84</v>
      </c>
      <c r="C10" s="23">
        <f t="shared" si="2"/>
        <v>22751.54</v>
      </c>
      <c r="D10" s="23">
        <f t="shared" si="2"/>
        <v>26983.72</v>
      </c>
      <c r="E10" s="23">
        <f t="shared" si="2"/>
        <v>25547.51</v>
      </c>
      <c r="F10" s="23">
        <f t="shared" si="2"/>
        <v>27113.94</v>
      </c>
      <c r="G10" s="23">
        <f t="shared" si="2"/>
        <v>30745.92</v>
      </c>
      <c r="H10" s="23">
        <f t="shared" si="2"/>
        <v>32649</v>
      </c>
      <c r="I10" s="23">
        <f t="shared" si="2"/>
        <v>25235.61</v>
      </c>
      <c r="J10" s="23">
        <f t="shared" si="2"/>
        <v>32299.14</v>
      </c>
      <c r="K10" s="23">
        <f t="shared" si="2"/>
        <v>27808.76</v>
      </c>
      <c r="L10" s="23">
        <f t="shared" si="2"/>
        <v>27035</v>
      </c>
      <c r="M10" s="23">
        <f t="shared" si="2"/>
        <v>30606</v>
      </c>
      <c r="N10" s="23">
        <f t="shared" si="1"/>
        <v>333215.98</v>
      </c>
    </row>
    <row r="11">
      <c r="A11" s="20" t="s">
        <v>37</v>
      </c>
      <c r="B11" s="23">
        <f t="shared" ref="B11:M11" si="3">B10</f>
        <v>24439.84</v>
      </c>
      <c r="C11" s="23">
        <f t="shared" si="3"/>
        <v>22751.54</v>
      </c>
      <c r="D11" s="23">
        <f t="shared" si="3"/>
        <v>26983.72</v>
      </c>
      <c r="E11" s="23">
        <f t="shared" si="3"/>
        <v>25547.51</v>
      </c>
      <c r="F11" s="23">
        <f t="shared" si="3"/>
        <v>27113.94</v>
      </c>
      <c r="G11" s="23">
        <f t="shared" si="3"/>
        <v>30745.92</v>
      </c>
      <c r="H11" s="23">
        <f t="shared" si="3"/>
        <v>32649</v>
      </c>
      <c r="I11" s="23">
        <f t="shared" si="3"/>
        <v>25235.61</v>
      </c>
      <c r="J11" s="23">
        <f t="shared" si="3"/>
        <v>32299.14</v>
      </c>
      <c r="K11" s="23">
        <f t="shared" si="3"/>
        <v>27808.76</v>
      </c>
      <c r="L11" s="23">
        <f t="shared" si="3"/>
        <v>27035</v>
      </c>
      <c r="M11" s="23">
        <f t="shared" si="3"/>
        <v>30606</v>
      </c>
      <c r="N11" s="23">
        <f t="shared" si="1"/>
        <v>333215.98</v>
      </c>
    </row>
    <row r="12">
      <c r="A12" s="20" t="s">
        <v>90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>
      <c r="A13" s="20" t="s">
        <v>91</v>
      </c>
      <c r="B13" s="21"/>
      <c r="C13" s="21"/>
      <c r="D13" s="21"/>
      <c r="E13" s="21"/>
      <c r="F13" s="21"/>
      <c r="G13" s="22">
        <f>1093</f>
        <v>1093</v>
      </c>
      <c r="H13" s="21"/>
      <c r="I13" s="21"/>
      <c r="J13" s="21"/>
      <c r="K13" s="21"/>
      <c r="L13" s="21"/>
      <c r="M13" s="21"/>
      <c r="N13" s="22">
        <f t="shared" ref="N13:N15" si="5">(((((((((((B13)+(C13))+(D13))+(E13))+(F13))+(G13))+(H13))+(I13))+(J13))+(K13))+(L13))+(M13)</f>
        <v>1093</v>
      </c>
    </row>
    <row r="14">
      <c r="A14" s="20" t="s">
        <v>92</v>
      </c>
      <c r="B14" s="23" t="str">
        <f t="shared" ref="B14:M14" si="4">B13</f>
        <v/>
      </c>
      <c r="C14" s="23" t="str">
        <f t="shared" si="4"/>
        <v/>
      </c>
      <c r="D14" s="23" t="str">
        <f t="shared" si="4"/>
        <v/>
      </c>
      <c r="E14" s="23" t="str">
        <f t="shared" si="4"/>
        <v/>
      </c>
      <c r="F14" s="23" t="str">
        <f t="shared" si="4"/>
        <v/>
      </c>
      <c r="G14" s="23">
        <f t="shared" si="4"/>
        <v>1093</v>
      </c>
      <c r="H14" s="23" t="str">
        <f t="shared" si="4"/>
        <v/>
      </c>
      <c r="I14" s="23" t="str">
        <f t="shared" si="4"/>
        <v/>
      </c>
      <c r="J14" s="23" t="str">
        <f t="shared" si="4"/>
        <v/>
      </c>
      <c r="K14" s="23" t="str">
        <f t="shared" si="4"/>
        <v/>
      </c>
      <c r="L14" s="23" t="str">
        <f t="shared" si="4"/>
        <v/>
      </c>
      <c r="M14" s="23" t="str">
        <f t="shared" si="4"/>
        <v/>
      </c>
      <c r="N14" s="23">
        <f t="shared" si="5"/>
        <v>1093</v>
      </c>
    </row>
    <row r="15">
      <c r="A15" s="20" t="s">
        <v>38</v>
      </c>
      <c r="B15" s="23">
        <f t="shared" ref="B15:M15" si="6">(B11)-(B14)</f>
        <v>24439.84</v>
      </c>
      <c r="C15" s="23">
        <f t="shared" si="6"/>
        <v>22751.54</v>
      </c>
      <c r="D15" s="23">
        <f t="shared" si="6"/>
        <v>26983.72</v>
      </c>
      <c r="E15" s="23">
        <f t="shared" si="6"/>
        <v>25547.51</v>
      </c>
      <c r="F15" s="23">
        <f t="shared" si="6"/>
        <v>27113.94</v>
      </c>
      <c r="G15" s="23">
        <f t="shared" si="6"/>
        <v>29652.92</v>
      </c>
      <c r="H15" s="23">
        <f t="shared" si="6"/>
        <v>32649</v>
      </c>
      <c r="I15" s="23">
        <f t="shared" si="6"/>
        <v>25235.61</v>
      </c>
      <c r="J15" s="23">
        <f t="shared" si="6"/>
        <v>32299.14</v>
      </c>
      <c r="K15" s="23">
        <f t="shared" si="6"/>
        <v>27808.76</v>
      </c>
      <c r="L15" s="23">
        <f t="shared" si="6"/>
        <v>27035</v>
      </c>
      <c r="M15" s="23">
        <f t="shared" si="6"/>
        <v>30606</v>
      </c>
      <c r="N15" s="23">
        <f t="shared" si="5"/>
        <v>332122.98</v>
      </c>
    </row>
    <row r="16">
      <c r="A16" s="20" t="s">
        <v>39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>
      <c r="A17" s="20" t="s">
        <v>40</v>
      </c>
      <c r="B17" s="21"/>
      <c r="C17" s="21"/>
      <c r="D17" s="21"/>
      <c r="E17" s="21"/>
      <c r="F17" s="21"/>
      <c r="G17" s="21"/>
      <c r="H17" s="21"/>
      <c r="I17" s="22">
        <f>113.87</f>
        <v>113.87</v>
      </c>
      <c r="J17" s="21"/>
      <c r="K17" s="21"/>
      <c r="L17" s="21"/>
      <c r="M17" s="21"/>
      <c r="N17" s="22">
        <f t="shared" ref="N17:N48" si="7">(((((((((((B17)+(C17))+(D17))+(E17))+(F17))+(G17))+(H17))+(I17))+(J17))+(K17))+(L17))+(M17)</f>
        <v>113.87</v>
      </c>
    </row>
    <row r="18">
      <c r="A18" s="20" t="s">
        <v>41</v>
      </c>
      <c r="B18" s="21"/>
      <c r="C18" s="21"/>
      <c r="D18" s="21"/>
      <c r="E18" s="21"/>
      <c r="F18" s="21"/>
      <c r="G18" s="22">
        <f>394.28</f>
        <v>394.28</v>
      </c>
      <c r="H18" s="21"/>
      <c r="I18" s="21"/>
      <c r="J18" s="21"/>
      <c r="K18" s="21"/>
      <c r="L18" s="21"/>
      <c r="M18" s="21"/>
      <c r="N18" s="22">
        <f t="shared" si="7"/>
        <v>394.28</v>
      </c>
    </row>
    <row r="19">
      <c r="A19" s="20" t="s">
        <v>42</v>
      </c>
      <c r="B19" s="23">
        <f t="shared" ref="B19:M19" si="8">(B17)+(B18)</f>
        <v>0</v>
      </c>
      <c r="C19" s="23">
        <f t="shared" si="8"/>
        <v>0</v>
      </c>
      <c r="D19" s="23">
        <f t="shared" si="8"/>
        <v>0</v>
      </c>
      <c r="E19" s="23">
        <f t="shared" si="8"/>
        <v>0</v>
      </c>
      <c r="F19" s="23">
        <f t="shared" si="8"/>
        <v>0</v>
      </c>
      <c r="G19" s="23">
        <f t="shared" si="8"/>
        <v>394.28</v>
      </c>
      <c r="H19" s="23">
        <f t="shared" si="8"/>
        <v>0</v>
      </c>
      <c r="I19" s="23">
        <f t="shared" si="8"/>
        <v>113.87</v>
      </c>
      <c r="J19" s="23">
        <f t="shared" si="8"/>
        <v>0</v>
      </c>
      <c r="K19" s="23">
        <f t="shared" si="8"/>
        <v>0</v>
      </c>
      <c r="L19" s="23">
        <f t="shared" si="8"/>
        <v>0</v>
      </c>
      <c r="M19" s="23">
        <f t="shared" si="8"/>
        <v>0</v>
      </c>
      <c r="N19" s="23">
        <f t="shared" si="7"/>
        <v>508.15</v>
      </c>
    </row>
    <row r="20">
      <c r="A20" s="20" t="s">
        <v>43</v>
      </c>
      <c r="B20" s="21"/>
      <c r="C20" s="21"/>
      <c r="D20" s="21"/>
      <c r="E20" s="21"/>
      <c r="F20" s="21"/>
      <c r="G20" s="22">
        <f>53</f>
        <v>53</v>
      </c>
      <c r="H20" s="21"/>
      <c r="I20" s="21"/>
      <c r="J20" s="21"/>
      <c r="K20" s="21"/>
      <c r="L20" s="21"/>
      <c r="M20" s="21"/>
      <c r="N20" s="22">
        <f t="shared" si="7"/>
        <v>53</v>
      </c>
    </row>
    <row r="21" ht="15.75" customHeight="1">
      <c r="A21" s="20" t="s">
        <v>93</v>
      </c>
      <c r="B21" s="22">
        <f>20</f>
        <v>20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>
        <f t="shared" si="7"/>
        <v>20</v>
      </c>
    </row>
    <row r="22" ht="15.75" customHeight="1">
      <c r="A22" s="20" t="s">
        <v>45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>
        <f t="shared" si="7"/>
        <v>0</v>
      </c>
    </row>
    <row r="23" ht="15.75" customHeight="1">
      <c r="A23" s="20" t="s">
        <v>46</v>
      </c>
      <c r="B23" s="22">
        <f>1685.7</f>
        <v>1685.7</v>
      </c>
      <c r="C23" s="22">
        <f t="shared" ref="C23:D23" si="9">1704.88</f>
        <v>1704.88</v>
      </c>
      <c r="D23" s="22">
        <f t="shared" si="9"/>
        <v>1704.88</v>
      </c>
      <c r="E23" s="22">
        <f>1693.84</f>
        <v>1693.84</v>
      </c>
      <c r="F23" s="22">
        <f>1995.2</f>
        <v>1995.2</v>
      </c>
      <c r="G23" s="22">
        <f>2237.48</f>
        <v>2237.48</v>
      </c>
      <c r="H23" s="22">
        <f>1759.28</f>
        <v>1759.28</v>
      </c>
      <c r="I23" s="22">
        <f>2094.56</f>
        <v>2094.56</v>
      </c>
      <c r="J23" s="22">
        <f>1649.28</f>
        <v>1649.28</v>
      </c>
      <c r="K23" s="21"/>
      <c r="L23" s="22">
        <f>1849.44</f>
        <v>1849.44</v>
      </c>
      <c r="M23" s="22">
        <f>1868.72</f>
        <v>1868.72</v>
      </c>
      <c r="N23" s="22">
        <f t="shared" si="7"/>
        <v>20243.26</v>
      </c>
    </row>
    <row r="24" ht="15.75" customHeight="1">
      <c r="A24" s="20" t="s">
        <v>47</v>
      </c>
      <c r="B24" s="21"/>
      <c r="C24" s="22">
        <f>2200</f>
        <v>2200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>
        <f t="shared" si="7"/>
        <v>2200</v>
      </c>
    </row>
    <row r="25" ht="15.75" customHeight="1">
      <c r="A25" s="20" t="s">
        <v>48</v>
      </c>
      <c r="B25" s="23">
        <f t="shared" ref="B25:M25" si="10">((B22)+(B23))+(B24)</f>
        <v>1685.7</v>
      </c>
      <c r="C25" s="23">
        <f t="shared" si="10"/>
        <v>3904.88</v>
      </c>
      <c r="D25" s="23">
        <f t="shared" si="10"/>
        <v>1704.88</v>
      </c>
      <c r="E25" s="23">
        <f t="shared" si="10"/>
        <v>1693.84</v>
      </c>
      <c r="F25" s="23">
        <f t="shared" si="10"/>
        <v>1995.2</v>
      </c>
      <c r="G25" s="23">
        <f t="shared" si="10"/>
        <v>2237.48</v>
      </c>
      <c r="H25" s="23">
        <f t="shared" si="10"/>
        <v>1759.28</v>
      </c>
      <c r="I25" s="23">
        <f t="shared" si="10"/>
        <v>2094.56</v>
      </c>
      <c r="J25" s="23">
        <f t="shared" si="10"/>
        <v>1649.28</v>
      </c>
      <c r="K25" s="23">
        <f t="shared" si="10"/>
        <v>0</v>
      </c>
      <c r="L25" s="23">
        <f t="shared" si="10"/>
        <v>1849.44</v>
      </c>
      <c r="M25" s="23">
        <f t="shared" si="10"/>
        <v>1868.72</v>
      </c>
      <c r="N25" s="23">
        <f t="shared" si="7"/>
        <v>22443.26</v>
      </c>
    </row>
    <row r="26" ht="15.75" customHeight="1">
      <c r="A26" s="20" t="s">
        <v>49</v>
      </c>
      <c r="B26" s="22">
        <f>298.55</f>
        <v>298.55</v>
      </c>
      <c r="C26" s="22">
        <f>517.68</f>
        <v>517.68</v>
      </c>
      <c r="D26" s="22">
        <f>80</f>
        <v>80</v>
      </c>
      <c r="E26" s="22">
        <f>9398.47</f>
        <v>9398.47</v>
      </c>
      <c r="F26" s="22">
        <f>2625.59</f>
        <v>2625.59</v>
      </c>
      <c r="G26" s="21"/>
      <c r="H26" s="22">
        <f>1641.33</f>
        <v>1641.33</v>
      </c>
      <c r="I26" s="22">
        <f>999</f>
        <v>999</v>
      </c>
      <c r="J26" s="22">
        <f>910.28</f>
        <v>910.28</v>
      </c>
      <c r="K26" s="22">
        <f>3662.15</f>
        <v>3662.15</v>
      </c>
      <c r="L26" s="22">
        <f>895.61</f>
        <v>895.61</v>
      </c>
      <c r="M26" s="22">
        <f>1423.41</f>
        <v>1423.41</v>
      </c>
      <c r="N26" s="22">
        <f t="shared" si="7"/>
        <v>22452.07</v>
      </c>
    </row>
    <row r="27" ht="15.75" customHeight="1">
      <c r="A27" s="20" t="s">
        <v>52</v>
      </c>
      <c r="B27" s="21"/>
      <c r="C27" s="22">
        <f>10.48</f>
        <v>10.48</v>
      </c>
      <c r="D27" s="21"/>
      <c r="E27" s="21"/>
      <c r="F27" s="22">
        <f>8.75</f>
        <v>8.75</v>
      </c>
      <c r="G27" s="22">
        <f>6.45</f>
        <v>6.45</v>
      </c>
      <c r="H27" s="22">
        <f>43.93</f>
        <v>43.93</v>
      </c>
      <c r="I27" s="22">
        <f>7.06</f>
        <v>7.06</v>
      </c>
      <c r="J27" s="22">
        <f>22.39</f>
        <v>22.39</v>
      </c>
      <c r="K27" s="22">
        <f>57.38</f>
        <v>57.38</v>
      </c>
      <c r="L27" s="22">
        <f>71.61</f>
        <v>71.61</v>
      </c>
      <c r="M27" s="22">
        <f>9.61</f>
        <v>9.61</v>
      </c>
      <c r="N27" s="22">
        <f t="shared" si="7"/>
        <v>237.66</v>
      </c>
    </row>
    <row r="28" ht="15.75" customHeight="1">
      <c r="A28" s="20" t="s">
        <v>53</v>
      </c>
      <c r="B28" s="21"/>
      <c r="C28" s="22">
        <f>70.52</f>
        <v>70.52</v>
      </c>
      <c r="D28" s="21"/>
      <c r="E28" s="22">
        <f>100.79</f>
        <v>100.79</v>
      </c>
      <c r="F28" s="21"/>
      <c r="G28" s="21"/>
      <c r="H28" s="21"/>
      <c r="I28" s="21"/>
      <c r="J28" s="21"/>
      <c r="K28" s="21"/>
      <c r="L28" s="22">
        <f>193.49</f>
        <v>193.49</v>
      </c>
      <c r="M28" s="21"/>
      <c r="N28" s="22">
        <f t="shared" si="7"/>
        <v>364.8</v>
      </c>
    </row>
    <row r="29" ht="15.75" customHeight="1">
      <c r="A29" s="20" t="s">
        <v>54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2">
        <f t="shared" si="7"/>
        <v>0</v>
      </c>
    </row>
    <row r="30" ht="15.75" customHeight="1">
      <c r="A30" s="20" t="s">
        <v>55</v>
      </c>
      <c r="B30" s="22">
        <f>4370.93</f>
        <v>4370.93</v>
      </c>
      <c r="C30" s="22">
        <f>3313.03</f>
        <v>3313.03</v>
      </c>
      <c r="D30" s="22">
        <f>3336.51</f>
        <v>3336.51</v>
      </c>
      <c r="E30" s="22">
        <f>2587.39</f>
        <v>2587.39</v>
      </c>
      <c r="F30" s="22">
        <f>1232.44</f>
        <v>1232.44</v>
      </c>
      <c r="G30" s="22">
        <f>1216.47</f>
        <v>1216.47</v>
      </c>
      <c r="H30" s="22">
        <f>1719.11</f>
        <v>1719.11</v>
      </c>
      <c r="I30" s="22">
        <f>1989.24</f>
        <v>1989.24</v>
      </c>
      <c r="J30" s="22">
        <f>2027.6</f>
        <v>2027.6</v>
      </c>
      <c r="K30" s="22">
        <f>1908.63</f>
        <v>1908.63</v>
      </c>
      <c r="L30" s="22">
        <f>1163.98</f>
        <v>1163.98</v>
      </c>
      <c r="M30" s="22">
        <f>2311.25</f>
        <v>2311.25</v>
      </c>
      <c r="N30" s="22">
        <f t="shared" si="7"/>
        <v>27176.58</v>
      </c>
    </row>
    <row r="31" ht="15.75" customHeight="1">
      <c r="A31" s="20" t="s">
        <v>56</v>
      </c>
      <c r="B31" s="22">
        <f>386.82</f>
        <v>386.82</v>
      </c>
      <c r="C31" s="22">
        <f>445.71</f>
        <v>445.71</v>
      </c>
      <c r="D31" s="22">
        <f>398.82</f>
        <v>398.82</v>
      </c>
      <c r="E31" s="22">
        <f>374.04</f>
        <v>374.04</v>
      </c>
      <c r="F31" s="22">
        <f>382.37</f>
        <v>382.37</v>
      </c>
      <c r="G31" s="22">
        <f>307.14</f>
        <v>307.14</v>
      </c>
      <c r="H31" s="22">
        <f>305.54</f>
        <v>305.54</v>
      </c>
      <c r="I31" s="22">
        <f>232.6</f>
        <v>232.6</v>
      </c>
      <c r="J31" s="22">
        <f>210.72</f>
        <v>210.72</v>
      </c>
      <c r="K31" s="22">
        <f>201.55</f>
        <v>201.55</v>
      </c>
      <c r="L31" s="22">
        <f>198.55</f>
        <v>198.55</v>
      </c>
      <c r="M31" s="22">
        <f>250.57</f>
        <v>250.57</v>
      </c>
      <c r="N31" s="22">
        <f t="shared" si="7"/>
        <v>3694.43</v>
      </c>
    </row>
    <row r="32" ht="15.75" customHeight="1">
      <c r="A32" s="20" t="s">
        <v>57</v>
      </c>
      <c r="B32" s="22">
        <f>1072.57</f>
        <v>1072.57</v>
      </c>
      <c r="C32" s="22">
        <f>1186.47</f>
        <v>1186.47</v>
      </c>
      <c r="D32" s="22">
        <f>1135.85</f>
        <v>1135.85</v>
      </c>
      <c r="E32" s="22">
        <f>860.58</f>
        <v>860.58</v>
      </c>
      <c r="F32" s="22">
        <f>805.82</f>
        <v>805.82</v>
      </c>
      <c r="G32" s="22">
        <f>928.03</f>
        <v>928.03</v>
      </c>
      <c r="H32" s="22">
        <f>1844.08</f>
        <v>1844.08</v>
      </c>
      <c r="I32" s="22">
        <f>376.73</f>
        <v>376.73</v>
      </c>
      <c r="J32" s="22">
        <f>1650.03</f>
        <v>1650.03</v>
      </c>
      <c r="K32" s="22">
        <f>1156.77</f>
        <v>1156.77</v>
      </c>
      <c r="L32" s="22">
        <f>1330.86</f>
        <v>1330.86</v>
      </c>
      <c r="M32" s="22">
        <f>1379.22</f>
        <v>1379.22</v>
      </c>
      <c r="N32" s="22">
        <f t="shared" si="7"/>
        <v>13727.01</v>
      </c>
    </row>
    <row r="33" ht="15.75" customHeight="1">
      <c r="A33" s="20" t="s">
        <v>58</v>
      </c>
      <c r="B33" s="21"/>
      <c r="C33" s="21"/>
      <c r="D33" s="21"/>
      <c r="E33" s="21"/>
      <c r="F33" s="22">
        <f>348.1</f>
        <v>348.1</v>
      </c>
      <c r="G33" s="21"/>
      <c r="H33" s="21"/>
      <c r="I33" s="21"/>
      <c r="J33" s="21"/>
      <c r="K33" s="21"/>
      <c r="L33" s="22">
        <f>249.55</f>
        <v>249.55</v>
      </c>
      <c r="M33" s="21"/>
      <c r="N33" s="22">
        <f t="shared" si="7"/>
        <v>597.65</v>
      </c>
    </row>
    <row r="34" ht="15.75" customHeight="1">
      <c r="A34" s="20" t="s">
        <v>59</v>
      </c>
      <c r="B34" s="22">
        <f>982.18</f>
        <v>982.18</v>
      </c>
      <c r="C34" s="22">
        <f>1081.84</f>
        <v>1081.84</v>
      </c>
      <c r="D34" s="22">
        <f>1062.41</f>
        <v>1062.41</v>
      </c>
      <c r="E34" s="21"/>
      <c r="F34" s="22">
        <f>2098.95</f>
        <v>2098.95</v>
      </c>
      <c r="G34" s="22">
        <f>1040.5</f>
        <v>1040.5</v>
      </c>
      <c r="H34" s="22">
        <f>12</f>
        <v>12</v>
      </c>
      <c r="I34" s="22">
        <f>1036.39</f>
        <v>1036.39</v>
      </c>
      <c r="J34" s="22">
        <f>1053.19</f>
        <v>1053.19</v>
      </c>
      <c r="K34" s="22">
        <f>2292.62</f>
        <v>2292.62</v>
      </c>
      <c r="L34" s="21"/>
      <c r="M34" s="22">
        <f>2119.61</f>
        <v>2119.61</v>
      </c>
      <c r="N34" s="22">
        <f t="shared" si="7"/>
        <v>12779.69</v>
      </c>
    </row>
    <row r="35" ht="15.75" customHeight="1">
      <c r="A35" s="20" t="s">
        <v>60</v>
      </c>
      <c r="B35" s="23">
        <f t="shared" ref="B35:M35" si="11">(((((B29)+(B30))+(B31))+(B32))+(B33))+(B34)</f>
        <v>6812.5</v>
      </c>
      <c r="C35" s="23">
        <f t="shared" si="11"/>
        <v>6027.05</v>
      </c>
      <c r="D35" s="23">
        <f t="shared" si="11"/>
        <v>5933.59</v>
      </c>
      <c r="E35" s="23">
        <f t="shared" si="11"/>
        <v>3822.01</v>
      </c>
      <c r="F35" s="23">
        <f t="shared" si="11"/>
        <v>4867.68</v>
      </c>
      <c r="G35" s="23">
        <f t="shared" si="11"/>
        <v>3492.14</v>
      </c>
      <c r="H35" s="23">
        <f t="shared" si="11"/>
        <v>3880.73</v>
      </c>
      <c r="I35" s="23">
        <f t="shared" si="11"/>
        <v>3634.96</v>
      </c>
      <c r="J35" s="23">
        <f t="shared" si="11"/>
        <v>4941.54</v>
      </c>
      <c r="K35" s="23">
        <f t="shared" si="11"/>
        <v>5559.57</v>
      </c>
      <c r="L35" s="23">
        <f t="shared" si="11"/>
        <v>2942.94</v>
      </c>
      <c r="M35" s="23">
        <f t="shared" si="11"/>
        <v>6060.65</v>
      </c>
      <c r="N35" s="23">
        <f t="shared" si="7"/>
        <v>57975.36</v>
      </c>
    </row>
    <row r="36" ht="15.75" customHeight="1">
      <c r="A36" s="20" t="s">
        <v>61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>
        <f t="shared" si="7"/>
        <v>0</v>
      </c>
    </row>
    <row r="37" ht="15.75" customHeight="1">
      <c r="A37" s="20" t="s">
        <v>62</v>
      </c>
      <c r="B37" s="22">
        <f>517.5</f>
        <v>517.5</v>
      </c>
      <c r="C37" s="22">
        <f>414</f>
        <v>414</v>
      </c>
      <c r="D37" s="22">
        <f>714</f>
        <v>714</v>
      </c>
      <c r="E37" s="22">
        <f>664</f>
        <v>664</v>
      </c>
      <c r="F37" s="22">
        <f>517.5</f>
        <v>517.5</v>
      </c>
      <c r="G37" s="22">
        <f>1439</f>
        <v>1439</v>
      </c>
      <c r="H37" s="22">
        <f>2037.5</f>
        <v>2037.5</v>
      </c>
      <c r="I37" s="22">
        <f>1875.5</f>
        <v>1875.5</v>
      </c>
      <c r="J37" s="22">
        <f>621</f>
        <v>621</v>
      </c>
      <c r="K37" s="22">
        <f>517.5</f>
        <v>517.5</v>
      </c>
      <c r="L37" s="22">
        <f t="shared" ref="L37:M37" si="12">414</f>
        <v>414</v>
      </c>
      <c r="M37" s="22">
        <f t="shared" si="12"/>
        <v>414</v>
      </c>
      <c r="N37" s="22">
        <f t="shared" si="7"/>
        <v>10145.5</v>
      </c>
    </row>
    <row r="38" ht="15.75" customHeight="1">
      <c r="A38" s="20" t="s">
        <v>63</v>
      </c>
      <c r="B38" s="21"/>
      <c r="C38" s="21"/>
      <c r="D38" s="22">
        <f>400</f>
        <v>400</v>
      </c>
      <c r="E38" s="21"/>
      <c r="F38" s="22">
        <f>1020</f>
        <v>1020</v>
      </c>
      <c r="G38" s="22">
        <f>660</f>
        <v>660</v>
      </c>
      <c r="H38" s="22">
        <f>4000</f>
        <v>4000</v>
      </c>
      <c r="I38" s="22">
        <f>1515</f>
        <v>1515</v>
      </c>
      <c r="J38" s="22">
        <f t="shared" ref="J38:K38" si="13">330</f>
        <v>330</v>
      </c>
      <c r="K38" s="22">
        <f t="shared" si="13"/>
        <v>330</v>
      </c>
      <c r="L38" s="22">
        <f>525</f>
        <v>525</v>
      </c>
      <c r="M38" s="21"/>
      <c r="N38" s="22">
        <f t="shared" si="7"/>
        <v>8780</v>
      </c>
    </row>
    <row r="39" ht="15.75" customHeight="1">
      <c r="A39" s="20" t="s">
        <v>64</v>
      </c>
      <c r="B39" s="22">
        <f>480</f>
        <v>480</v>
      </c>
      <c r="C39" s="22">
        <f>740</f>
        <v>740</v>
      </c>
      <c r="D39" s="22">
        <f>360</f>
        <v>360</v>
      </c>
      <c r="E39" s="21"/>
      <c r="F39" s="21"/>
      <c r="G39" s="21"/>
      <c r="H39" s="21"/>
      <c r="I39" s="21"/>
      <c r="J39" s="21"/>
      <c r="K39" s="21"/>
      <c r="L39" s="21"/>
      <c r="M39" s="22">
        <f>400</f>
        <v>400</v>
      </c>
      <c r="N39" s="22">
        <f t="shared" si="7"/>
        <v>1980</v>
      </c>
    </row>
    <row r="40" ht="15.75" customHeight="1">
      <c r="A40" s="20" t="s">
        <v>65</v>
      </c>
      <c r="B40" s="21"/>
      <c r="C40" s="21"/>
      <c r="D40" s="21"/>
      <c r="E40" s="21"/>
      <c r="F40" s="21"/>
      <c r="G40" s="22">
        <f>301.13</f>
        <v>301.13</v>
      </c>
      <c r="H40" s="21"/>
      <c r="I40" s="21"/>
      <c r="J40" s="21"/>
      <c r="K40" s="21"/>
      <c r="L40" s="21"/>
      <c r="M40" s="21"/>
      <c r="N40" s="22">
        <f t="shared" si="7"/>
        <v>301.13</v>
      </c>
    </row>
    <row r="41" ht="15.75" customHeight="1">
      <c r="A41" s="20" t="s">
        <v>66</v>
      </c>
      <c r="B41" s="23">
        <f t="shared" ref="B41:M41" si="14">((((B36)+(B37))+(B38))+(B39))+(B40)</f>
        <v>997.5</v>
      </c>
      <c r="C41" s="23">
        <f t="shared" si="14"/>
        <v>1154</v>
      </c>
      <c r="D41" s="23">
        <f t="shared" si="14"/>
        <v>1474</v>
      </c>
      <c r="E41" s="23">
        <f t="shared" si="14"/>
        <v>664</v>
      </c>
      <c r="F41" s="23">
        <f t="shared" si="14"/>
        <v>1537.5</v>
      </c>
      <c r="G41" s="23">
        <f t="shared" si="14"/>
        <v>2400.13</v>
      </c>
      <c r="H41" s="23">
        <f t="shared" si="14"/>
        <v>6037.5</v>
      </c>
      <c r="I41" s="23">
        <f t="shared" si="14"/>
        <v>3390.5</v>
      </c>
      <c r="J41" s="23">
        <f t="shared" si="14"/>
        <v>951</v>
      </c>
      <c r="K41" s="23">
        <f t="shared" si="14"/>
        <v>847.5</v>
      </c>
      <c r="L41" s="23">
        <f t="shared" si="14"/>
        <v>939</v>
      </c>
      <c r="M41" s="23">
        <f t="shared" si="14"/>
        <v>814</v>
      </c>
      <c r="N41" s="23">
        <f t="shared" si="7"/>
        <v>21206.63</v>
      </c>
    </row>
    <row r="42" ht="15.75" customHeight="1">
      <c r="A42" s="20" t="s">
        <v>94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2">
        <f>140</f>
        <v>140</v>
      </c>
      <c r="N42" s="22">
        <f t="shared" si="7"/>
        <v>140</v>
      </c>
    </row>
    <row r="43" ht="15.75" customHeight="1">
      <c r="A43" s="20" t="s">
        <v>95</v>
      </c>
      <c r="B43" s="21"/>
      <c r="C43" s="21"/>
      <c r="D43" s="21"/>
      <c r="E43" s="21"/>
      <c r="F43" s="21"/>
      <c r="G43" s="21"/>
      <c r="H43" s="21"/>
      <c r="I43" s="22">
        <f>30</f>
        <v>30</v>
      </c>
      <c r="J43" s="21"/>
      <c r="K43" s="21"/>
      <c r="L43" s="21"/>
      <c r="M43" s="21"/>
      <c r="N43" s="22">
        <f t="shared" si="7"/>
        <v>30</v>
      </c>
    </row>
    <row r="44" ht="15.75" customHeight="1">
      <c r="A44" s="20" t="s">
        <v>96</v>
      </c>
      <c r="B44" s="21"/>
      <c r="C44" s="21"/>
      <c r="D44" s="21"/>
      <c r="E44" s="21"/>
      <c r="F44" s="22">
        <f>267.5</f>
        <v>267.5</v>
      </c>
      <c r="G44" s="21"/>
      <c r="H44" s="21"/>
      <c r="I44" s="21"/>
      <c r="J44" s="21"/>
      <c r="K44" s="21"/>
      <c r="L44" s="21"/>
      <c r="M44" s="21"/>
      <c r="N44" s="22">
        <f t="shared" si="7"/>
        <v>267.5</v>
      </c>
    </row>
    <row r="45" ht="15.75" customHeight="1">
      <c r="A45" s="20" t="s">
        <v>67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2">
        <f t="shared" si="7"/>
        <v>0</v>
      </c>
    </row>
    <row r="46" ht="15.75" customHeight="1">
      <c r="A46" s="20" t="s">
        <v>68</v>
      </c>
      <c r="B46" s="21"/>
      <c r="C46" s="21"/>
      <c r="D46" s="21"/>
      <c r="E46" s="21"/>
      <c r="F46" s="21"/>
      <c r="G46" s="21"/>
      <c r="H46" s="21"/>
      <c r="I46" s="22">
        <f>10183.42</f>
        <v>10183.42</v>
      </c>
      <c r="J46" s="22">
        <f>-13313.78</f>
        <v>-13313.78</v>
      </c>
      <c r="K46" s="21"/>
      <c r="L46" s="21"/>
      <c r="M46" s="22">
        <f>11423.37</f>
        <v>11423.37</v>
      </c>
      <c r="N46" s="22">
        <f t="shared" si="7"/>
        <v>8293.01</v>
      </c>
    </row>
    <row r="47" ht="15.75" customHeight="1">
      <c r="A47" s="20" t="s">
        <v>69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2">
        <f>14099</f>
        <v>14099</v>
      </c>
      <c r="M47" s="21"/>
      <c r="N47" s="22">
        <f t="shared" si="7"/>
        <v>14099</v>
      </c>
    </row>
    <row r="48" ht="15.75" customHeight="1">
      <c r="A48" s="20" t="s">
        <v>70</v>
      </c>
      <c r="B48" s="23">
        <f t="shared" ref="B48:M48" si="15">((B45)+(B46))+(B47)</f>
        <v>0</v>
      </c>
      <c r="C48" s="23">
        <f t="shared" si="15"/>
        <v>0</v>
      </c>
      <c r="D48" s="23">
        <f t="shared" si="15"/>
        <v>0</v>
      </c>
      <c r="E48" s="23">
        <f t="shared" si="15"/>
        <v>0</v>
      </c>
      <c r="F48" s="23">
        <f t="shared" si="15"/>
        <v>0</v>
      </c>
      <c r="G48" s="23">
        <f t="shared" si="15"/>
        <v>0</v>
      </c>
      <c r="H48" s="23">
        <f t="shared" si="15"/>
        <v>0</v>
      </c>
      <c r="I48" s="23">
        <f t="shared" si="15"/>
        <v>10183.42</v>
      </c>
      <c r="J48" s="23">
        <f t="shared" si="15"/>
        <v>-13313.78</v>
      </c>
      <c r="K48" s="23">
        <f t="shared" si="15"/>
        <v>0</v>
      </c>
      <c r="L48" s="23">
        <f t="shared" si="15"/>
        <v>14099</v>
      </c>
      <c r="M48" s="23">
        <f t="shared" si="15"/>
        <v>11423.37</v>
      </c>
      <c r="N48" s="23">
        <f t="shared" si="7"/>
        <v>22392.01</v>
      </c>
    </row>
    <row r="49" ht="15.75" customHeight="1">
      <c r="A49" s="20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2"/>
    </row>
    <row r="50" ht="15.75" customHeight="1">
      <c r="A50" s="20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</row>
    <row r="51" ht="15.75" customHeight="1">
      <c r="A51" s="20" t="s">
        <v>72</v>
      </c>
      <c r="B51" s="23">
        <f t="shared" ref="B51:M51" si="16">(B49)+(B50)</f>
        <v>0</v>
      </c>
      <c r="C51" s="23">
        <f t="shared" si="16"/>
        <v>0</v>
      </c>
      <c r="D51" s="23">
        <f t="shared" si="16"/>
        <v>0</v>
      </c>
      <c r="E51" s="23">
        <f t="shared" si="16"/>
        <v>0</v>
      </c>
      <c r="F51" s="23">
        <f t="shared" si="16"/>
        <v>0</v>
      </c>
      <c r="G51" s="23">
        <f t="shared" si="16"/>
        <v>0</v>
      </c>
      <c r="H51" s="23">
        <f t="shared" si="16"/>
        <v>0</v>
      </c>
      <c r="I51" s="23">
        <f t="shared" si="16"/>
        <v>0</v>
      </c>
      <c r="J51" s="23">
        <f t="shared" si="16"/>
        <v>0</v>
      </c>
      <c r="K51" s="23">
        <f t="shared" si="16"/>
        <v>0</v>
      </c>
      <c r="L51" s="23">
        <f t="shared" si="16"/>
        <v>0</v>
      </c>
      <c r="M51" s="23">
        <f t="shared" si="16"/>
        <v>0</v>
      </c>
      <c r="N51" s="23">
        <f t="shared" ref="N51:N54" si="18">(((((((((((B51)+(C51))+(D51))+(E51))+(F51))+(G51))+(H51))+(I51))+(J51))+(K51))+(L51))+(M51)</f>
        <v>0</v>
      </c>
    </row>
    <row r="52" ht="15.75" customHeight="1">
      <c r="A52" s="20" t="s">
        <v>97</v>
      </c>
      <c r="B52" s="21"/>
      <c r="C52" s="21"/>
      <c r="D52" s="22">
        <f>0</f>
        <v>0</v>
      </c>
      <c r="E52" s="21"/>
      <c r="F52" s="21"/>
      <c r="G52" s="21"/>
      <c r="H52" s="22">
        <f t="shared" ref="H52:M52" si="17">0</f>
        <v>0</v>
      </c>
      <c r="I52" s="22">
        <f t="shared" si="17"/>
        <v>0</v>
      </c>
      <c r="J52" s="22">
        <f t="shared" si="17"/>
        <v>0</v>
      </c>
      <c r="K52" s="22">
        <f t="shared" si="17"/>
        <v>0</v>
      </c>
      <c r="L52" s="22">
        <f t="shared" si="17"/>
        <v>0</v>
      </c>
      <c r="M52" s="22">
        <f t="shared" si="17"/>
        <v>0</v>
      </c>
      <c r="N52" s="22">
        <f t="shared" si="18"/>
        <v>0</v>
      </c>
    </row>
    <row r="53" ht="15.75" customHeight="1">
      <c r="A53" s="20" t="s">
        <v>73</v>
      </c>
      <c r="B53" s="23">
        <f t="shared" ref="B53:M53" si="19">((((((((((((((B19)+(B20))+(B21))+(B25))+(B26))+(B27))+(B28))+(B35))+(B41))+(B42))+(B43))+(B44))+(B48))+(B51))+(B52)</f>
        <v>9814.25</v>
      </c>
      <c r="C53" s="23">
        <f t="shared" si="19"/>
        <v>11684.61</v>
      </c>
      <c r="D53" s="23">
        <f t="shared" si="19"/>
        <v>9192.47</v>
      </c>
      <c r="E53" s="23">
        <f t="shared" si="19"/>
        <v>15679.11</v>
      </c>
      <c r="F53" s="23">
        <f t="shared" si="19"/>
        <v>11302.22</v>
      </c>
      <c r="G53" s="23">
        <f t="shared" si="19"/>
        <v>8583.48</v>
      </c>
      <c r="H53" s="23">
        <f t="shared" si="19"/>
        <v>13362.77</v>
      </c>
      <c r="I53" s="23">
        <f t="shared" si="19"/>
        <v>20453.37</v>
      </c>
      <c r="J53" s="23">
        <f t="shared" si="19"/>
        <v>-4839.29</v>
      </c>
      <c r="K53" s="23">
        <f t="shared" si="19"/>
        <v>10126.6</v>
      </c>
      <c r="L53" s="23">
        <f t="shared" si="19"/>
        <v>20991.09</v>
      </c>
      <c r="M53" s="23">
        <f t="shared" si="19"/>
        <v>21739.76</v>
      </c>
      <c r="N53" s="23">
        <f t="shared" si="18"/>
        <v>148090.44</v>
      </c>
    </row>
    <row r="54" ht="15.75" customHeight="1">
      <c r="A54" s="20" t="s">
        <v>74</v>
      </c>
      <c r="B54" s="23">
        <f t="shared" ref="B54:M54" si="20">(B15)-(B53)</f>
        <v>14625.59</v>
      </c>
      <c r="C54" s="23">
        <f t="shared" si="20"/>
        <v>11066.93</v>
      </c>
      <c r="D54" s="23">
        <f t="shared" si="20"/>
        <v>17791.25</v>
      </c>
      <c r="E54" s="23">
        <f t="shared" si="20"/>
        <v>9868.4</v>
      </c>
      <c r="F54" s="23">
        <f t="shared" si="20"/>
        <v>15811.72</v>
      </c>
      <c r="G54" s="23">
        <f t="shared" si="20"/>
        <v>21069.44</v>
      </c>
      <c r="H54" s="23">
        <f t="shared" si="20"/>
        <v>19286.23</v>
      </c>
      <c r="I54" s="23">
        <f t="shared" si="20"/>
        <v>4782.24</v>
      </c>
      <c r="J54" s="23">
        <f t="shared" si="20"/>
        <v>37138.43</v>
      </c>
      <c r="K54" s="23">
        <f t="shared" si="20"/>
        <v>17682.16</v>
      </c>
      <c r="L54" s="23">
        <f t="shared" si="20"/>
        <v>6043.91</v>
      </c>
      <c r="M54" s="23">
        <f t="shared" si="20"/>
        <v>8866.24</v>
      </c>
      <c r="N54" s="23">
        <f t="shared" si="18"/>
        <v>184032.54</v>
      </c>
    </row>
    <row r="55" ht="15.75" customHeight="1">
      <c r="A55" s="20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ht="15.75" customHeight="1">
      <c r="A56" s="20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2"/>
    </row>
    <row r="57" ht="15.75" customHeight="1">
      <c r="A57" s="20"/>
      <c r="B57" s="21"/>
      <c r="C57" s="21"/>
      <c r="D57" s="21"/>
      <c r="E57" s="21"/>
      <c r="F57" s="21"/>
      <c r="G57" s="22"/>
      <c r="H57" s="22"/>
      <c r="I57" s="22"/>
      <c r="J57" s="21"/>
      <c r="K57" s="21"/>
      <c r="L57" s="21"/>
      <c r="M57" s="21"/>
      <c r="N57" s="22"/>
    </row>
    <row r="58" ht="15.75" customHeight="1">
      <c r="A58" s="20" t="s">
        <v>98</v>
      </c>
      <c r="B58" s="23">
        <f t="shared" ref="B58:M58" si="21">(B56)+(B57)</f>
        <v>0</v>
      </c>
      <c r="C58" s="23">
        <f t="shared" si="21"/>
        <v>0</v>
      </c>
      <c r="D58" s="23">
        <f t="shared" si="21"/>
        <v>0</v>
      </c>
      <c r="E58" s="23">
        <f t="shared" si="21"/>
        <v>0</v>
      </c>
      <c r="F58" s="23">
        <f t="shared" si="21"/>
        <v>0</v>
      </c>
      <c r="G58" s="23">
        <f t="shared" si="21"/>
        <v>0</v>
      </c>
      <c r="H58" s="23">
        <f t="shared" si="21"/>
        <v>0</v>
      </c>
      <c r="I58" s="23">
        <f t="shared" si="21"/>
        <v>0</v>
      </c>
      <c r="J58" s="23">
        <f t="shared" si="21"/>
        <v>0</v>
      </c>
      <c r="K58" s="23">
        <f t="shared" si="21"/>
        <v>0</v>
      </c>
      <c r="L58" s="23">
        <f t="shared" si="21"/>
        <v>0</v>
      </c>
      <c r="M58" s="23">
        <f t="shared" si="21"/>
        <v>0</v>
      </c>
      <c r="N58" s="23">
        <f t="shared" ref="N58:N61" si="23">(((((((((((B58)+(C58))+(D58))+(E58))+(F58))+(G58))+(H58))+(I58))+(J58))+(K58))+(L58))+(M58)</f>
        <v>0</v>
      </c>
    </row>
    <row r="59" ht="15.75" customHeight="1">
      <c r="A59" s="20" t="s">
        <v>99</v>
      </c>
      <c r="B59" s="23">
        <f t="shared" ref="B59:M59" si="22">B58</f>
        <v>0</v>
      </c>
      <c r="C59" s="23">
        <f t="shared" si="22"/>
        <v>0</v>
      </c>
      <c r="D59" s="23">
        <f t="shared" si="22"/>
        <v>0</v>
      </c>
      <c r="E59" s="23">
        <f t="shared" si="22"/>
        <v>0</v>
      </c>
      <c r="F59" s="23">
        <f t="shared" si="22"/>
        <v>0</v>
      </c>
      <c r="G59" s="23">
        <f t="shared" si="22"/>
        <v>0</v>
      </c>
      <c r="H59" s="23">
        <f t="shared" si="22"/>
        <v>0</v>
      </c>
      <c r="I59" s="23">
        <f t="shared" si="22"/>
        <v>0</v>
      </c>
      <c r="J59" s="23">
        <f t="shared" si="22"/>
        <v>0</v>
      </c>
      <c r="K59" s="23">
        <f t="shared" si="22"/>
        <v>0</v>
      </c>
      <c r="L59" s="23">
        <f t="shared" si="22"/>
        <v>0</v>
      </c>
      <c r="M59" s="23">
        <f t="shared" si="22"/>
        <v>0</v>
      </c>
      <c r="N59" s="23">
        <f t="shared" si="23"/>
        <v>0</v>
      </c>
    </row>
    <row r="60" ht="15.75" customHeight="1">
      <c r="A60" s="20" t="s">
        <v>100</v>
      </c>
      <c r="B60" s="23">
        <f t="shared" ref="B60:M60" si="24">(0)-(B59)</f>
        <v>0</v>
      </c>
      <c r="C60" s="23">
        <f t="shared" si="24"/>
        <v>0</v>
      </c>
      <c r="D60" s="23">
        <f t="shared" si="24"/>
        <v>0</v>
      </c>
      <c r="E60" s="23">
        <f t="shared" si="24"/>
        <v>0</v>
      </c>
      <c r="F60" s="23">
        <f t="shared" si="24"/>
        <v>0</v>
      </c>
      <c r="G60" s="23">
        <f t="shared" si="24"/>
        <v>0</v>
      </c>
      <c r="H60" s="23">
        <f t="shared" si="24"/>
        <v>0</v>
      </c>
      <c r="I60" s="23">
        <f t="shared" si="24"/>
        <v>0</v>
      </c>
      <c r="J60" s="23">
        <f t="shared" si="24"/>
        <v>0</v>
      </c>
      <c r="K60" s="23">
        <f t="shared" si="24"/>
        <v>0</v>
      </c>
      <c r="L60" s="23">
        <f t="shared" si="24"/>
        <v>0</v>
      </c>
      <c r="M60" s="23">
        <f t="shared" si="24"/>
        <v>0</v>
      </c>
      <c r="N60" s="23">
        <f t="shared" si="23"/>
        <v>0</v>
      </c>
    </row>
    <row r="61" ht="15.75" customHeight="1">
      <c r="A61" s="20" t="s">
        <v>75</v>
      </c>
      <c r="B61" s="23">
        <f t="shared" ref="B61:M61" si="25">(B54)+(B60)</f>
        <v>14625.59</v>
      </c>
      <c r="C61" s="23">
        <f t="shared" si="25"/>
        <v>11066.93</v>
      </c>
      <c r="D61" s="23">
        <f t="shared" si="25"/>
        <v>17791.25</v>
      </c>
      <c r="E61" s="23">
        <f t="shared" si="25"/>
        <v>9868.4</v>
      </c>
      <c r="F61" s="23">
        <f t="shared" si="25"/>
        <v>15811.72</v>
      </c>
      <c r="G61" s="23">
        <f t="shared" si="25"/>
        <v>21069.44</v>
      </c>
      <c r="H61" s="23">
        <f t="shared" si="25"/>
        <v>19286.23</v>
      </c>
      <c r="I61" s="23">
        <f t="shared" si="25"/>
        <v>4782.24</v>
      </c>
      <c r="J61" s="23">
        <f t="shared" si="25"/>
        <v>37138.43</v>
      </c>
      <c r="K61" s="23">
        <f t="shared" si="25"/>
        <v>17682.16</v>
      </c>
      <c r="L61" s="23">
        <f t="shared" si="25"/>
        <v>6043.91</v>
      </c>
      <c r="M61" s="23">
        <f t="shared" si="25"/>
        <v>8866.24</v>
      </c>
      <c r="N61" s="23">
        <f t="shared" si="23"/>
        <v>184032.54</v>
      </c>
    </row>
    <row r="62" ht="15.75" customHeight="1">
      <c r="A62" s="20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ht="15.75" customHeight="1"/>
    <row r="64" ht="15.75" customHeight="1"/>
    <row r="65" ht="15.75" customHeight="1">
      <c r="A65" s="26" t="s">
        <v>101</v>
      </c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N1"/>
    <mergeCell ref="A2:N2"/>
    <mergeCell ref="A3:N3"/>
    <mergeCell ref="A65:N65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71"/>
    <col customWidth="1" min="2" max="3" width="9.43"/>
    <col customWidth="1" min="4" max="4" width="10.29"/>
    <col customWidth="1" min="5" max="8" width="9.43"/>
    <col customWidth="1" min="9" max="9" width="11.14"/>
    <col customWidth="1" min="10" max="13" width="9.43"/>
    <col customWidth="1" min="14" max="14" width="10.29"/>
    <col customWidth="1" min="15" max="26" width="8.71"/>
  </cols>
  <sheetData>
    <row r="1">
      <c r="A1" s="16" t="s">
        <v>102</v>
      </c>
    </row>
    <row r="2">
      <c r="A2" s="16" t="s">
        <v>13</v>
      </c>
    </row>
    <row r="3">
      <c r="A3" s="17" t="s">
        <v>14</v>
      </c>
    </row>
    <row r="4">
      <c r="M4" s="11" t="s">
        <v>103</v>
      </c>
    </row>
    <row r="5">
      <c r="A5" s="18"/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23</v>
      </c>
      <c r="J5" s="19" t="s">
        <v>24</v>
      </c>
      <c r="K5" s="19" t="s">
        <v>25</v>
      </c>
      <c r="L5" s="19" t="s">
        <v>26</v>
      </c>
      <c r="M5" s="19" t="s">
        <v>27</v>
      </c>
      <c r="N5" s="19" t="s">
        <v>28</v>
      </c>
    </row>
    <row r="6">
      <c r="A6" s="20" t="s">
        <v>29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>
      <c r="A7" s="20" t="s">
        <v>30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2">
        <f t="shared" ref="N7:N12" si="1">(((((((((((B7)+(C7))+(D7))+(E7))+(F7))+(G7))+(H7))+(I7))+(J7))+(K7))+(L7))+(M7)</f>
        <v>0</v>
      </c>
    </row>
    <row r="8">
      <c r="A8" s="20" t="s">
        <v>31</v>
      </c>
      <c r="B8" s="22">
        <f>23453.31</f>
        <v>23453.31</v>
      </c>
      <c r="C8" s="22">
        <f>23943.59</f>
        <v>23943.59</v>
      </c>
      <c r="D8" s="22">
        <f>21541.9</f>
        <v>21541.9</v>
      </c>
      <c r="E8" s="22">
        <f>24698.98</f>
        <v>24698.98</v>
      </c>
      <c r="F8" s="22">
        <f>27975.77</f>
        <v>27975.77</v>
      </c>
      <c r="G8" s="22">
        <f>21329.95</f>
        <v>21329.95</v>
      </c>
      <c r="H8" s="22">
        <f>29376.68</f>
        <v>29376.68</v>
      </c>
      <c r="I8" s="22">
        <f>24430.47</f>
        <v>24430.47</v>
      </c>
      <c r="J8" s="22">
        <f>24807.11</f>
        <v>24807.11</v>
      </c>
      <c r="K8" s="22">
        <f>30718.83</f>
        <v>30718.83</v>
      </c>
      <c r="L8" s="22">
        <f>26714.09</f>
        <v>26714.09</v>
      </c>
      <c r="M8" s="22">
        <f>28479.19</f>
        <v>28479.19</v>
      </c>
      <c r="N8" s="22">
        <f t="shared" si="1"/>
        <v>307469.87</v>
      </c>
    </row>
    <row r="9">
      <c r="A9" s="20" t="s">
        <v>32</v>
      </c>
      <c r="B9" s="21"/>
      <c r="C9" s="21"/>
      <c r="D9" s="21"/>
      <c r="E9" s="21"/>
      <c r="F9" s="21"/>
      <c r="G9" s="21"/>
      <c r="H9" s="21"/>
      <c r="I9" s="22">
        <f>-127</f>
        <v>-127</v>
      </c>
      <c r="J9" s="21"/>
      <c r="K9" s="21"/>
      <c r="L9" s="21"/>
      <c r="M9" s="21"/>
      <c r="N9" s="22">
        <f t="shared" si="1"/>
        <v>-127</v>
      </c>
    </row>
    <row r="10">
      <c r="A10" s="20" t="s">
        <v>33</v>
      </c>
      <c r="B10" s="23">
        <f t="shared" ref="B10:M10" si="2">((B7)+(B8))+(B9)</f>
        <v>23453.31</v>
      </c>
      <c r="C10" s="23">
        <f t="shared" si="2"/>
        <v>23943.59</v>
      </c>
      <c r="D10" s="23">
        <f t="shared" si="2"/>
        <v>21541.9</v>
      </c>
      <c r="E10" s="23">
        <f t="shared" si="2"/>
        <v>24698.98</v>
      </c>
      <c r="F10" s="23">
        <f t="shared" si="2"/>
        <v>27975.77</v>
      </c>
      <c r="G10" s="23">
        <f t="shared" si="2"/>
        <v>21329.95</v>
      </c>
      <c r="H10" s="23">
        <f t="shared" si="2"/>
        <v>29376.68</v>
      </c>
      <c r="I10" s="23">
        <f t="shared" si="2"/>
        <v>24303.47</v>
      </c>
      <c r="J10" s="23">
        <f t="shared" si="2"/>
        <v>24807.11</v>
      </c>
      <c r="K10" s="23">
        <f t="shared" si="2"/>
        <v>30718.83</v>
      </c>
      <c r="L10" s="23">
        <f t="shared" si="2"/>
        <v>26714.09</v>
      </c>
      <c r="M10" s="23">
        <f t="shared" si="2"/>
        <v>28479.19</v>
      </c>
      <c r="N10" s="23">
        <f t="shared" si="1"/>
        <v>307342.87</v>
      </c>
    </row>
    <row r="11">
      <c r="A11" s="20" t="s">
        <v>37</v>
      </c>
      <c r="B11" s="23">
        <f t="shared" ref="B11:M11" si="3">B10</f>
        <v>23453.31</v>
      </c>
      <c r="C11" s="23">
        <f t="shared" si="3"/>
        <v>23943.59</v>
      </c>
      <c r="D11" s="23">
        <f t="shared" si="3"/>
        <v>21541.9</v>
      </c>
      <c r="E11" s="23">
        <f t="shared" si="3"/>
        <v>24698.98</v>
      </c>
      <c r="F11" s="23">
        <f t="shared" si="3"/>
        <v>27975.77</v>
      </c>
      <c r="G11" s="23">
        <f t="shared" si="3"/>
        <v>21329.95</v>
      </c>
      <c r="H11" s="23">
        <f t="shared" si="3"/>
        <v>29376.68</v>
      </c>
      <c r="I11" s="23">
        <f t="shared" si="3"/>
        <v>24303.47</v>
      </c>
      <c r="J11" s="23">
        <f t="shared" si="3"/>
        <v>24807.11</v>
      </c>
      <c r="K11" s="23">
        <f t="shared" si="3"/>
        <v>30718.83</v>
      </c>
      <c r="L11" s="23">
        <f t="shared" si="3"/>
        <v>26714.09</v>
      </c>
      <c r="M11" s="23">
        <f t="shared" si="3"/>
        <v>28479.19</v>
      </c>
      <c r="N11" s="23">
        <f t="shared" si="1"/>
        <v>307342.87</v>
      </c>
    </row>
    <row r="12">
      <c r="A12" s="20" t="s">
        <v>38</v>
      </c>
      <c r="B12" s="23">
        <f t="shared" ref="B12:M12" si="4">(B11)-(0)</f>
        <v>23453.31</v>
      </c>
      <c r="C12" s="23">
        <f t="shared" si="4"/>
        <v>23943.59</v>
      </c>
      <c r="D12" s="23">
        <f t="shared" si="4"/>
        <v>21541.9</v>
      </c>
      <c r="E12" s="23">
        <f t="shared" si="4"/>
        <v>24698.98</v>
      </c>
      <c r="F12" s="23">
        <f t="shared" si="4"/>
        <v>27975.77</v>
      </c>
      <c r="G12" s="23">
        <f t="shared" si="4"/>
        <v>21329.95</v>
      </c>
      <c r="H12" s="23">
        <f t="shared" si="4"/>
        <v>29376.68</v>
      </c>
      <c r="I12" s="23">
        <f t="shared" si="4"/>
        <v>24303.47</v>
      </c>
      <c r="J12" s="23">
        <f t="shared" si="4"/>
        <v>24807.11</v>
      </c>
      <c r="K12" s="23">
        <f t="shared" si="4"/>
        <v>30718.83</v>
      </c>
      <c r="L12" s="23">
        <f t="shared" si="4"/>
        <v>26714.09</v>
      </c>
      <c r="M12" s="23">
        <f t="shared" si="4"/>
        <v>28479.19</v>
      </c>
      <c r="N12" s="23">
        <f t="shared" si="1"/>
        <v>307342.87</v>
      </c>
    </row>
    <row r="13">
      <c r="A13" s="20" t="s">
        <v>39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>
      <c r="A14" s="20" t="s">
        <v>104</v>
      </c>
      <c r="B14" s="21"/>
      <c r="C14" s="22">
        <f>29.94</f>
        <v>29.94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2">
        <f t="shared" ref="N14:N39" si="5">(((((((((((B14)+(C14))+(D14))+(E14))+(F14))+(G14))+(H14))+(I14))+(J14))+(K14))+(L14))+(M14)</f>
        <v>29.94</v>
      </c>
    </row>
    <row r="15">
      <c r="A15" s="20" t="s">
        <v>105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2">
        <f t="shared" si="5"/>
        <v>0</v>
      </c>
    </row>
    <row r="16">
      <c r="A16" s="20" t="s">
        <v>106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2">
        <f>219</f>
        <v>219</v>
      </c>
      <c r="M16" s="21"/>
      <c r="N16" s="22">
        <f t="shared" si="5"/>
        <v>219</v>
      </c>
    </row>
    <row r="17">
      <c r="A17" s="20" t="s">
        <v>107</v>
      </c>
      <c r="B17" s="23">
        <f t="shared" ref="B17:M17" si="6">(B15)+(B16)</f>
        <v>0</v>
      </c>
      <c r="C17" s="23">
        <f t="shared" si="6"/>
        <v>0</v>
      </c>
      <c r="D17" s="23">
        <f t="shared" si="6"/>
        <v>0</v>
      </c>
      <c r="E17" s="23">
        <f t="shared" si="6"/>
        <v>0</v>
      </c>
      <c r="F17" s="23">
        <f t="shared" si="6"/>
        <v>0</v>
      </c>
      <c r="G17" s="23">
        <f t="shared" si="6"/>
        <v>0</v>
      </c>
      <c r="H17" s="23">
        <f t="shared" si="6"/>
        <v>0</v>
      </c>
      <c r="I17" s="23">
        <f t="shared" si="6"/>
        <v>0</v>
      </c>
      <c r="J17" s="23">
        <f t="shared" si="6"/>
        <v>0</v>
      </c>
      <c r="K17" s="23">
        <f t="shared" si="6"/>
        <v>0</v>
      </c>
      <c r="L17" s="23">
        <f t="shared" si="6"/>
        <v>219</v>
      </c>
      <c r="M17" s="23">
        <f t="shared" si="6"/>
        <v>0</v>
      </c>
      <c r="N17" s="23">
        <f t="shared" si="5"/>
        <v>219</v>
      </c>
    </row>
    <row r="18">
      <c r="A18" s="20" t="s">
        <v>108</v>
      </c>
      <c r="B18" s="21"/>
      <c r="C18" s="21"/>
      <c r="D18" s="21"/>
      <c r="E18" s="22">
        <f>174.24</f>
        <v>174.24</v>
      </c>
      <c r="F18" s="21"/>
      <c r="G18" s="22">
        <f>233.13</f>
        <v>233.13</v>
      </c>
      <c r="H18" s="21"/>
      <c r="I18" s="22">
        <f>219</f>
        <v>219</v>
      </c>
      <c r="J18" s="21"/>
      <c r="K18" s="22">
        <f>219</f>
        <v>219</v>
      </c>
      <c r="L18" s="21"/>
      <c r="M18" s="21"/>
      <c r="N18" s="22">
        <f t="shared" si="5"/>
        <v>845.37</v>
      </c>
    </row>
    <row r="19">
      <c r="A19" s="20" t="s">
        <v>45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>
        <f t="shared" si="5"/>
        <v>0</v>
      </c>
    </row>
    <row r="20">
      <c r="A20" s="20" t="s">
        <v>46</v>
      </c>
      <c r="B20" s="22">
        <f>1486.11</f>
        <v>1486.11</v>
      </c>
      <c r="C20" s="22">
        <f>1504.54</f>
        <v>1504.54</v>
      </c>
      <c r="D20" s="22">
        <f>1708.86</f>
        <v>1708.86</v>
      </c>
      <c r="E20" s="22">
        <f>1488.15</f>
        <v>1488.15</v>
      </c>
      <c r="F20" s="22">
        <f>1392.88</f>
        <v>1392.88</v>
      </c>
      <c r="G20" s="22">
        <f>1449.95</f>
        <v>1449.95</v>
      </c>
      <c r="H20" s="22">
        <f>1600.77</f>
        <v>1600.77</v>
      </c>
      <c r="I20" s="22">
        <f>1854.99</f>
        <v>1854.99</v>
      </c>
      <c r="J20" s="22">
        <f>1630.32</f>
        <v>1630.32</v>
      </c>
      <c r="K20" s="22">
        <f>1723.97</f>
        <v>1723.97</v>
      </c>
      <c r="L20" s="22">
        <f>1689.93</f>
        <v>1689.93</v>
      </c>
      <c r="M20" s="22">
        <f>1711.25</f>
        <v>1711.25</v>
      </c>
      <c r="N20" s="22">
        <f t="shared" si="5"/>
        <v>19241.72</v>
      </c>
    </row>
    <row r="21" ht="15.75" customHeight="1">
      <c r="A21" s="20" t="s">
        <v>48</v>
      </c>
      <c r="B21" s="23">
        <f t="shared" ref="B21:M21" si="7">(B19)+(B20)</f>
        <v>1486.11</v>
      </c>
      <c r="C21" s="23">
        <f t="shared" si="7"/>
        <v>1504.54</v>
      </c>
      <c r="D21" s="23">
        <f t="shared" si="7"/>
        <v>1708.86</v>
      </c>
      <c r="E21" s="23">
        <f t="shared" si="7"/>
        <v>1488.15</v>
      </c>
      <c r="F21" s="23">
        <f t="shared" si="7"/>
        <v>1392.88</v>
      </c>
      <c r="G21" s="23">
        <f t="shared" si="7"/>
        <v>1449.95</v>
      </c>
      <c r="H21" s="23">
        <f t="shared" si="7"/>
        <v>1600.77</v>
      </c>
      <c r="I21" s="23">
        <f t="shared" si="7"/>
        <v>1854.99</v>
      </c>
      <c r="J21" s="23">
        <f t="shared" si="7"/>
        <v>1630.32</v>
      </c>
      <c r="K21" s="23">
        <f t="shared" si="7"/>
        <v>1723.97</v>
      </c>
      <c r="L21" s="23">
        <f t="shared" si="7"/>
        <v>1689.93</v>
      </c>
      <c r="M21" s="23">
        <f t="shared" si="7"/>
        <v>1711.25</v>
      </c>
      <c r="N21" s="23">
        <f t="shared" si="5"/>
        <v>19241.72</v>
      </c>
    </row>
    <row r="22" ht="15.75" customHeight="1">
      <c r="A22" s="20" t="s">
        <v>109</v>
      </c>
      <c r="B22" s="21"/>
      <c r="C22" s="21"/>
      <c r="D22" s="22">
        <f>20</f>
        <v>20</v>
      </c>
      <c r="E22" s="21"/>
      <c r="F22" s="21"/>
      <c r="G22" s="22">
        <f>1</f>
        <v>1</v>
      </c>
      <c r="H22" s="22">
        <f>-1</f>
        <v>-1</v>
      </c>
      <c r="I22" s="22">
        <f>15</f>
        <v>15</v>
      </c>
      <c r="J22" s="21"/>
      <c r="K22" s="21"/>
      <c r="L22" s="21"/>
      <c r="M22" s="21"/>
      <c r="N22" s="22">
        <f t="shared" si="5"/>
        <v>35</v>
      </c>
    </row>
    <row r="23" ht="15.75" customHeight="1">
      <c r="A23" s="20" t="s">
        <v>49</v>
      </c>
      <c r="B23" s="22">
        <f>3005.51</f>
        <v>3005.51</v>
      </c>
      <c r="C23" s="22">
        <f>3280.99</f>
        <v>3280.99</v>
      </c>
      <c r="D23" s="22">
        <f>5425.59</f>
        <v>5425.59</v>
      </c>
      <c r="E23" s="22">
        <f>2224.95</f>
        <v>2224.95</v>
      </c>
      <c r="F23" s="22">
        <f>1600.6</f>
        <v>1600.6</v>
      </c>
      <c r="G23" s="22">
        <f>878.55</f>
        <v>878.55</v>
      </c>
      <c r="H23" s="22">
        <f>1485.71</f>
        <v>1485.71</v>
      </c>
      <c r="I23" s="22">
        <f>2043.67</f>
        <v>2043.67</v>
      </c>
      <c r="J23" s="22">
        <f>4865.81</f>
        <v>4865.81</v>
      </c>
      <c r="K23" s="22">
        <f>3071.31</f>
        <v>3071.31</v>
      </c>
      <c r="L23" s="22">
        <f>4249.41</f>
        <v>4249.41</v>
      </c>
      <c r="M23" s="22">
        <f>2967.34</f>
        <v>2967.34</v>
      </c>
      <c r="N23" s="22">
        <f t="shared" si="5"/>
        <v>35099.44</v>
      </c>
    </row>
    <row r="24" ht="15.75" customHeight="1">
      <c r="A24" s="20" t="s">
        <v>52</v>
      </c>
      <c r="B24" s="22">
        <f>10.45</f>
        <v>10.45</v>
      </c>
      <c r="C24" s="21"/>
      <c r="D24" s="22">
        <f>14.17</f>
        <v>14.17</v>
      </c>
      <c r="E24" s="22">
        <f>193.64</f>
        <v>193.64</v>
      </c>
      <c r="F24" s="21"/>
      <c r="G24" s="21"/>
      <c r="H24" s="21"/>
      <c r="I24" s="22">
        <f>49.53</f>
        <v>49.53</v>
      </c>
      <c r="J24" s="21"/>
      <c r="K24" s="21"/>
      <c r="L24" s="21"/>
      <c r="M24" s="21"/>
      <c r="N24" s="22">
        <f t="shared" si="5"/>
        <v>267.79</v>
      </c>
    </row>
    <row r="25" ht="15.75" customHeight="1">
      <c r="A25" s="20" t="s">
        <v>110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2">
        <f t="shared" si="5"/>
        <v>0</v>
      </c>
    </row>
    <row r="26" ht="15.75" customHeight="1">
      <c r="A26" s="20" t="s">
        <v>55</v>
      </c>
      <c r="B26" s="21"/>
      <c r="C26" s="22">
        <f>8888.69</f>
        <v>8888.69</v>
      </c>
      <c r="D26" s="22">
        <f>3555.46</f>
        <v>3555.46</v>
      </c>
      <c r="E26" s="21"/>
      <c r="F26" s="22">
        <f>3820.18</f>
        <v>3820.18</v>
      </c>
      <c r="G26" s="21"/>
      <c r="H26" s="22">
        <f>238.89</f>
        <v>238.89</v>
      </c>
      <c r="I26" s="22">
        <f>2230.66</f>
        <v>2230.66</v>
      </c>
      <c r="J26" s="22">
        <f>2458.8</f>
        <v>2458.8</v>
      </c>
      <c r="K26" s="22">
        <f>4974.14</f>
        <v>4974.14</v>
      </c>
      <c r="L26" s="21"/>
      <c r="M26" s="27">
        <f>361.24</f>
        <v>361.24</v>
      </c>
      <c r="N26" s="22">
        <f t="shared" si="5"/>
        <v>26528.06</v>
      </c>
    </row>
    <row r="27" ht="15.75" customHeight="1">
      <c r="A27" s="20" t="s">
        <v>56</v>
      </c>
      <c r="B27" s="22">
        <f>266.21</f>
        <v>266.21</v>
      </c>
      <c r="C27" s="22">
        <f>238.75</f>
        <v>238.75</v>
      </c>
      <c r="D27" s="22">
        <f>226</f>
        <v>226</v>
      </c>
      <c r="E27" s="22">
        <f>193.89</f>
        <v>193.89</v>
      </c>
      <c r="F27" s="22">
        <f>194.48</f>
        <v>194.48</v>
      </c>
      <c r="G27" s="22">
        <f>182.49</f>
        <v>182.49</v>
      </c>
      <c r="H27" s="22">
        <f>374.36</f>
        <v>374.36</v>
      </c>
      <c r="I27" s="21"/>
      <c r="J27" s="21"/>
      <c r="K27" s="22">
        <f>552.68</f>
        <v>552.68</v>
      </c>
      <c r="L27" s="21"/>
      <c r="M27" s="28"/>
      <c r="N27" s="22">
        <f t="shared" si="5"/>
        <v>2228.86</v>
      </c>
    </row>
    <row r="28" ht="15.75" customHeight="1">
      <c r="A28" s="20" t="s">
        <v>57</v>
      </c>
      <c r="B28" s="22">
        <f>377.67</f>
        <v>377.67</v>
      </c>
      <c r="C28" s="22">
        <f>438.83</f>
        <v>438.83</v>
      </c>
      <c r="D28" s="22">
        <f>371.63</f>
        <v>371.63</v>
      </c>
      <c r="E28" s="22">
        <f>359.98</f>
        <v>359.98</v>
      </c>
      <c r="F28" s="22">
        <f>383.61</f>
        <v>383.61</v>
      </c>
      <c r="G28" s="22">
        <f>390.84</f>
        <v>390.84</v>
      </c>
      <c r="H28" s="22">
        <f>360.31</f>
        <v>360.31</v>
      </c>
      <c r="I28" s="22">
        <f>357.96</f>
        <v>357.96</v>
      </c>
      <c r="J28" s="22">
        <f>369.61</f>
        <v>369.61</v>
      </c>
      <c r="K28" s="22">
        <f>408.37</f>
        <v>408.37</v>
      </c>
      <c r="L28" s="22">
        <f>459.95</f>
        <v>459.95</v>
      </c>
      <c r="M28" s="28"/>
      <c r="N28" s="22">
        <f t="shared" si="5"/>
        <v>4278.76</v>
      </c>
    </row>
    <row r="29" ht="15.75" customHeight="1">
      <c r="A29" s="20" t="s">
        <v>111</v>
      </c>
      <c r="B29" s="21"/>
      <c r="C29" s="22">
        <f>1262.15</f>
        <v>1262.15</v>
      </c>
      <c r="D29" s="22">
        <f>719.62</f>
        <v>719.62</v>
      </c>
      <c r="E29" s="22">
        <f>940.05</f>
        <v>940.05</v>
      </c>
      <c r="F29" s="21"/>
      <c r="G29" s="21"/>
      <c r="H29" s="22">
        <f>644.67</f>
        <v>644.67</v>
      </c>
      <c r="I29" s="22">
        <f>1915.08</f>
        <v>1915.08</v>
      </c>
      <c r="J29" s="22">
        <f>593.77</f>
        <v>593.77</v>
      </c>
      <c r="K29" s="22">
        <f>42.4</f>
        <v>42.4</v>
      </c>
      <c r="L29" s="22">
        <f>733.75</f>
        <v>733.75</v>
      </c>
      <c r="M29" s="28"/>
      <c r="N29" s="22">
        <f t="shared" si="5"/>
        <v>6851.49</v>
      </c>
    </row>
    <row r="30" ht="15.75" customHeight="1">
      <c r="A30" s="20" t="s">
        <v>112</v>
      </c>
      <c r="B30" s="23">
        <f t="shared" ref="B30:M30" si="8">((((B25)+(B26))+(B27))+(B28))+(B29)</f>
        <v>643.88</v>
      </c>
      <c r="C30" s="23">
        <f t="shared" si="8"/>
        <v>10828.42</v>
      </c>
      <c r="D30" s="23">
        <f t="shared" si="8"/>
        <v>4872.71</v>
      </c>
      <c r="E30" s="23">
        <f t="shared" si="8"/>
        <v>1493.92</v>
      </c>
      <c r="F30" s="23">
        <f t="shared" si="8"/>
        <v>4398.27</v>
      </c>
      <c r="G30" s="23">
        <f t="shared" si="8"/>
        <v>573.33</v>
      </c>
      <c r="H30" s="23">
        <f t="shared" si="8"/>
        <v>1618.23</v>
      </c>
      <c r="I30" s="23">
        <f t="shared" si="8"/>
        <v>4503.7</v>
      </c>
      <c r="J30" s="23">
        <f t="shared" si="8"/>
        <v>3422.18</v>
      </c>
      <c r="K30" s="23">
        <f t="shared" si="8"/>
        <v>5977.59</v>
      </c>
      <c r="L30" s="23">
        <f t="shared" si="8"/>
        <v>1193.7</v>
      </c>
      <c r="M30" s="23">
        <f t="shared" si="8"/>
        <v>361.24</v>
      </c>
      <c r="N30" s="23">
        <f t="shared" si="5"/>
        <v>39887.17</v>
      </c>
    </row>
    <row r="31" ht="15.75" customHeight="1">
      <c r="A31" s="20" t="s">
        <v>61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2">
        <f t="shared" si="5"/>
        <v>0</v>
      </c>
    </row>
    <row r="32" ht="15.75" customHeight="1">
      <c r="A32" s="20" t="s">
        <v>113</v>
      </c>
      <c r="B32" s="21"/>
      <c r="C32" s="21"/>
      <c r="D32" s="22">
        <f>1660</f>
        <v>1660</v>
      </c>
      <c r="E32" s="21"/>
      <c r="F32" s="21"/>
      <c r="G32" s="21"/>
      <c r="H32" s="21"/>
      <c r="I32" s="21"/>
      <c r="J32" s="21"/>
      <c r="K32" s="21"/>
      <c r="L32" s="21"/>
      <c r="M32" s="21"/>
      <c r="N32" s="22">
        <f t="shared" si="5"/>
        <v>1660</v>
      </c>
    </row>
    <row r="33" ht="15.75" customHeight="1">
      <c r="A33" s="20" t="s">
        <v>63</v>
      </c>
      <c r="B33" s="21"/>
      <c r="C33" s="22">
        <f>500</f>
        <v>500</v>
      </c>
      <c r="D33" s="21"/>
      <c r="E33" s="22">
        <f>910</f>
        <v>910</v>
      </c>
      <c r="F33" s="22">
        <f>420</f>
        <v>420</v>
      </c>
      <c r="G33" s="22">
        <f>1095</f>
        <v>1095</v>
      </c>
      <c r="H33" s="22">
        <f>420</f>
        <v>420</v>
      </c>
      <c r="I33" s="22">
        <f>700</f>
        <v>700</v>
      </c>
      <c r="J33" s="22">
        <f>420</f>
        <v>420</v>
      </c>
      <c r="K33" s="22">
        <f>645</f>
        <v>645</v>
      </c>
      <c r="L33" s="21"/>
      <c r="M33" s="22">
        <f>880</f>
        <v>880</v>
      </c>
      <c r="N33" s="22">
        <f t="shared" si="5"/>
        <v>5990</v>
      </c>
    </row>
    <row r="34" ht="15.75" customHeight="1">
      <c r="A34" s="20" t="s">
        <v>65</v>
      </c>
      <c r="B34" s="21"/>
      <c r="C34" s="22">
        <f>273.75</f>
        <v>273.75</v>
      </c>
      <c r="D34" s="21"/>
      <c r="E34" s="21"/>
      <c r="F34" s="21"/>
      <c r="G34" s="22">
        <f>273.75</f>
        <v>273.75</v>
      </c>
      <c r="H34" s="21"/>
      <c r="I34" s="21"/>
      <c r="J34" s="21"/>
      <c r="K34" s="21"/>
      <c r="L34" s="21"/>
      <c r="M34" s="22">
        <f>273.75</f>
        <v>273.75</v>
      </c>
      <c r="N34" s="22">
        <f t="shared" si="5"/>
        <v>821.25</v>
      </c>
    </row>
    <row r="35" ht="15.75" customHeight="1">
      <c r="A35" s="20" t="s">
        <v>66</v>
      </c>
      <c r="B35" s="23">
        <f t="shared" ref="B35:M35" si="9">(((B31)+(B32))+(B33))+(B34)</f>
        <v>0</v>
      </c>
      <c r="C35" s="23">
        <f t="shared" si="9"/>
        <v>773.75</v>
      </c>
      <c r="D35" s="23">
        <f t="shared" si="9"/>
        <v>1660</v>
      </c>
      <c r="E35" s="23">
        <f t="shared" si="9"/>
        <v>910</v>
      </c>
      <c r="F35" s="23">
        <f t="shared" si="9"/>
        <v>420</v>
      </c>
      <c r="G35" s="23">
        <f t="shared" si="9"/>
        <v>1368.75</v>
      </c>
      <c r="H35" s="23">
        <f t="shared" si="9"/>
        <v>420</v>
      </c>
      <c r="I35" s="23">
        <f t="shared" si="9"/>
        <v>700</v>
      </c>
      <c r="J35" s="23">
        <f t="shared" si="9"/>
        <v>420</v>
      </c>
      <c r="K35" s="23">
        <f t="shared" si="9"/>
        <v>645</v>
      </c>
      <c r="L35" s="23">
        <f t="shared" si="9"/>
        <v>0</v>
      </c>
      <c r="M35" s="23">
        <f t="shared" si="9"/>
        <v>1153.75</v>
      </c>
      <c r="N35" s="23">
        <f t="shared" si="5"/>
        <v>8471.25</v>
      </c>
    </row>
    <row r="36" ht="15.75" customHeight="1">
      <c r="A36" s="20" t="s">
        <v>114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>
        <f t="shared" si="5"/>
        <v>0</v>
      </c>
    </row>
    <row r="37" ht="15.75" customHeight="1">
      <c r="A37" s="20" t="s">
        <v>68</v>
      </c>
      <c r="B37" s="21"/>
      <c r="C37" s="21"/>
      <c r="D37" s="21"/>
      <c r="E37" s="21"/>
      <c r="F37" s="21"/>
      <c r="G37" s="24">
        <v>-6092.61</v>
      </c>
      <c r="H37" s="21"/>
      <c r="I37" s="21"/>
      <c r="J37" s="21"/>
      <c r="K37" s="21"/>
      <c r="L37" s="21"/>
      <c r="M37" s="22">
        <f>16613.13</f>
        <v>16613.13</v>
      </c>
      <c r="N37" s="22">
        <f t="shared" si="5"/>
        <v>10520.52</v>
      </c>
    </row>
    <row r="38" ht="15.75" customHeight="1">
      <c r="A38" s="20" t="s">
        <v>115</v>
      </c>
      <c r="B38" s="23">
        <f t="shared" ref="B38:M38" si="10">(B36)+(B37)</f>
        <v>0</v>
      </c>
      <c r="C38" s="23">
        <f t="shared" si="10"/>
        <v>0</v>
      </c>
      <c r="D38" s="23">
        <f t="shared" si="10"/>
        <v>0</v>
      </c>
      <c r="E38" s="23">
        <f t="shared" si="10"/>
        <v>0</v>
      </c>
      <c r="F38" s="23">
        <f t="shared" si="10"/>
        <v>0</v>
      </c>
      <c r="G38" s="23">
        <f t="shared" si="10"/>
        <v>-6092.61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16613.13</v>
      </c>
      <c r="N38" s="23">
        <f t="shared" si="5"/>
        <v>10520.52</v>
      </c>
    </row>
    <row r="39" ht="15.75" customHeight="1">
      <c r="A39" s="20" t="s">
        <v>116</v>
      </c>
      <c r="B39" s="22">
        <f>767</f>
        <v>767</v>
      </c>
      <c r="C39" s="21"/>
      <c r="D39" s="21"/>
      <c r="E39" s="21"/>
      <c r="F39" s="21"/>
      <c r="G39" s="21"/>
      <c r="H39" s="21"/>
      <c r="I39" s="22">
        <f>22000</f>
        <v>22000</v>
      </c>
      <c r="J39" s="22">
        <f>65</f>
        <v>65</v>
      </c>
      <c r="K39" s="22">
        <f>1300</f>
        <v>1300</v>
      </c>
      <c r="L39" s="21"/>
      <c r="M39" s="21"/>
      <c r="N39" s="22">
        <f t="shared" si="5"/>
        <v>24132</v>
      </c>
    </row>
    <row r="40" ht="15.75" customHeight="1">
      <c r="A40" s="20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ht="15.75" customHeight="1">
      <c r="A41" s="20" t="s">
        <v>73</v>
      </c>
      <c r="B41" s="23">
        <f t="shared" ref="B41:M41" si="11">(((((((((((B14)+(B17))+(B18))+(B21))+(B22))+(B23))+(B24))+(B30))+(B35))+(B38))+(B39))+(B40)</f>
        <v>5912.95</v>
      </c>
      <c r="C41" s="23">
        <f t="shared" si="11"/>
        <v>16417.64</v>
      </c>
      <c r="D41" s="23">
        <f t="shared" si="11"/>
        <v>13701.33</v>
      </c>
      <c r="E41" s="23">
        <f t="shared" si="11"/>
        <v>6484.9</v>
      </c>
      <c r="F41" s="23">
        <f t="shared" si="11"/>
        <v>7811.75</v>
      </c>
      <c r="G41" s="23">
        <f t="shared" si="11"/>
        <v>-1587.9</v>
      </c>
      <c r="H41" s="23">
        <f t="shared" si="11"/>
        <v>5123.71</v>
      </c>
      <c r="I41" s="23">
        <f t="shared" si="11"/>
        <v>31385.89</v>
      </c>
      <c r="J41" s="23">
        <f t="shared" si="11"/>
        <v>10403.31</v>
      </c>
      <c r="K41" s="23">
        <f t="shared" si="11"/>
        <v>12936.87</v>
      </c>
      <c r="L41" s="23">
        <f t="shared" si="11"/>
        <v>7352.04</v>
      </c>
      <c r="M41" s="23">
        <f t="shared" si="11"/>
        <v>22806.71</v>
      </c>
      <c r="N41" s="23">
        <f t="shared" ref="N41:N42" si="13">(((((((((((B41)+(C41))+(D41))+(E41))+(F41))+(G41))+(H41))+(I41))+(J41))+(K41))+(L41))+(M41)</f>
        <v>138749.2</v>
      </c>
    </row>
    <row r="42" ht="15.75" customHeight="1">
      <c r="A42" s="20" t="s">
        <v>74</v>
      </c>
      <c r="B42" s="23">
        <f t="shared" ref="B42:M42" si="12">(B12)-(B41)</f>
        <v>17540.36</v>
      </c>
      <c r="C42" s="23">
        <f t="shared" si="12"/>
        <v>7525.95</v>
      </c>
      <c r="D42" s="23">
        <f t="shared" si="12"/>
        <v>7840.57</v>
      </c>
      <c r="E42" s="23">
        <f t="shared" si="12"/>
        <v>18214.08</v>
      </c>
      <c r="F42" s="23">
        <f t="shared" si="12"/>
        <v>20164.02</v>
      </c>
      <c r="G42" s="23">
        <f t="shared" si="12"/>
        <v>22917.85</v>
      </c>
      <c r="H42" s="23">
        <f t="shared" si="12"/>
        <v>24252.97</v>
      </c>
      <c r="I42" s="23">
        <f t="shared" si="12"/>
        <v>-7082.42</v>
      </c>
      <c r="J42" s="23">
        <f t="shared" si="12"/>
        <v>14403.8</v>
      </c>
      <c r="K42" s="23">
        <f t="shared" si="12"/>
        <v>17781.96</v>
      </c>
      <c r="L42" s="23">
        <f t="shared" si="12"/>
        <v>19362.05</v>
      </c>
      <c r="M42" s="23">
        <f t="shared" si="12"/>
        <v>5672.48</v>
      </c>
      <c r="N42" s="23">
        <f t="shared" si="13"/>
        <v>168593.67</v>
      </c>
    </row>
    <row r="43" ht="15.75" customHeight="1">
      <c r="A43" s="20" t="s">
        <v>117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ht="15.75" customHeight="1">
      <c r="A44" s="20" t="s">
        <v>118</v>
      </c>
      <c r="B44" s="22">
        <f>102.96</f>
        <v>102.96</v>
      </c>
      <c r="C44" s="22">
        <f>100.93</f>
        <v>100.93</v>
      </c>
      <c r="D44" s="22">
        <f>16.56</f>
        <v>16.56</v>
      </c>
      <c r="E44" s="22">
        <f>8.89</f>
        <v>8.89</v>
      </c>
      <c r="F44" s="21"/>
      <c r="G44" s="21"/>
      <c r="H44" s="21"/>
      <c r="I44" s="21"/>
      <c r="J44" s="21"/>
      <c r="K44" s="21"/>
      <c r="L44" s="21"/>
      <c r="M44" s="21"/>
      <c r="N44" s="22">
        <f t="shared" ref="N44:N47" si="15">(((((((((((B44)+(C44))+(D44))+(E44))+(F44))+(G44))+(H44))+(I44))+(J44))+(K44))+(L44))+(M44)</f>
        <v>229.34</v>
      </c>
    </row>
    <row r="45" ht="15.75" customHeight="1">
      <c r="A45" s="20" t="s">
        <v>119</v>
      </c>
      <c r="B45" s="23">
        <f t="shared" ref="B45:M45" si="14">B44</f>
        <v>102.96</v>
      </c>
      <c r="C45" s="23">
        <f t="shared" si="14"/>
        <v>100.93</v>
      </c>
      <c r="D45" s="23">
        <f t="shared" si="14"/>
        <v>16.56</v>
      </c>
      <c r="E45" s="23">
        <f t="shared" si="14"/>
        <v>8.89</v>
      </c>
      <c r="F45" s="23" t="str">
        <f t="shared" si="14"/>
        <v/>
      </c>
      <c r="G45" s="23" t="str">
        <f t="shared" si="14"/>
        <v/>
      </c>
      <c r="H45" s="23" t="str">
        <f t="shared" si="14"/>
        <v/>
      </c>
      <c r="I45" s="23" t="str">
        <f t="shared" si="14"/>
        <v/>
      </c>
      <c r="J45" s="23" t="str">
        <f t="shared" si="14"/>
        <v/>
      </c>
      <c r="K45" s="23" t="str">
        <f t="shared" si="14"/>
        <v/>
      </c>
      <c r="L45" s="23" t="str">
        <f t="shared" si="14"/>
        <v/>
      </c>
      <c r="M45" s="23" t="str">
        <f t="shared" si="14"/>
        <v/>
      </c>
      <c r="N45" s="23">
        <f t="shared" si="15"/>
        <v>229.34</v>
      </c>
    </row>
    <row r="46" ht="15.75" customHeight="1">
      <c r="A46" s="20" t="s">
        <v>100</v>
      </c>
      <c r="B46" s="23">
        <f t="shared" ref="B46:M46" si="16">(B45)-(0)</f>
        <v>102.96</v>
      </c>
      <c r="C46" s="23">
        <f t="shared" si="16"/>
        <v>100.93</v>
      </c>
      <c r="D46" s="23">
        <f t="shared" si="16"/>
        <v>16.56</v>
      </c>
      <c r="E46" s="23">
        <f t="shared" si="16"/>
        <v>8.89</v>
      </c>
      <c r="F46" s="23">
        <f t="shared" si="16"/>
        <v>0</v>
      </c>
      <c r="G46" s="23">
        <f t="shared" si="16"/>
        <v>0</v>
      </c>
      <c r="H46" s="23">
        <f t="shared" si="16"/>
        <v>0</v>
      </c>
      <c r="I46" s="23">
        <f t="shared" si="16"/>
        <v>0</v>
      </c>
      <c r="J46" s="23">
        <f t="shared" si="16"/>
        <v>0</v>
      </c>
      <c r="K46" s="23">
        <f t="shared" si="16"/>
        <v>0</v>
      </c>
      <c r="L46" s="23">
        <f t="shared" si="16"/>
        <v>0</v>
      </c>
      <c r="M46" s="23">
        <f t="shared" si="16"/>
        <v>0</v>
      </c>
      <c r="N46" s="23">
        <f t="shared" si="15"/>
        <v>229.34</v>
      </c>
    </row>
    <row r="47" ht="15.75" customHeight="1">
      <c r="A47" s="20" t="s">
        <v>75</v>
      </c>
      <c r="B47" s="23">
        <f t="shared" ref="B47:M47" si="17">(B42)+(B46)</f>
        <v>17643.32</v>
      </c>
      <c r="C47" s="23">
        <f t="shared" si="17"/>
        <v>7626.88</v>
      </c>
      <c r="D47" s="23">
        <f t="shared" si="17"/>
        <v>7857.13</v>
      </c>
      <c r="E47" s="23">
        <f t="shared" si="17"/>
        <v>18222.97</v>
      </c>
      <c r="F47" s="23">
        <f t="shared" si="17"/>
        <v>20164.02</v>
      </c>
      <c r="G47" s="23">
        <f t="shared" si="17"/>
        <v>22917.85</v>
      </c>
      <c r="H47" s="23">
        <f t="shared" si="17"/>
        <v>24252.97</v>
      </c>
      <c r="I47" s="23">
        <f t="shared" si="17"/>
        <v>-7082.42</v>
      </c>
      <c r="J47" s="23">
        <f t="shared" si="17"/>
        <v>14403.8</v>
      </c>
      <c r="K47" s="23">
        <f t="shared" si="17"/>
        <v>17781.96</v>
      </c>
      <c r="L47" s="23">
        <f t="shared" si="17"/>
        <v>19362.05</v>
      </c>
      <c r="M47" s="23">
        <f t="shared" si="17"/>
        <v>5672.48</v>
      </c>
      <c r="N47" s="23">
        <f t="shared" si="15"/>
        <v>168823.01</v>
      </c>
    </row>
    <row r="48" ht="15.75" customHeight="1">
      <c r="A48" s="20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  <row r="49" ht="15.75" customHeight="1"/>
    <row r="50" ht="15.75" customHeight="1"/>
    <row r="51" ht="15.75" customHeight="1">
      <c r="A51" s="26" t="s">
        <v>120</v>
      </c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N1"/>
    <mergeCell ref="A2:N2"/>
    <mergeCell ref="A3:N3"/>
    <mergeCell ref="A51:N5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71"/>
    <col customWidth="1" min="2" max="8" width="9.43"/>
    <col customWidth="1" min="9" max="9" width="10.29"/>
    <col customWidth="1" min="10" max="12" width="9.43"/>
    <col customWidth="1" min="13" max="14" width="10.29"/>
    <col customWidth="1" min="15" max="26" width="8.71"/>
  </cols>
  <sheetData>
    <row r="1">
      <c r="A1" s="16" t="s">
        <v>102</v>
      </c>
    </row>
    <row r="2">
      <c r="A2" s="16" t="s">
        <v>13</v>
      </c>
    </row>
    <row r="3">
      <c r="A3" s="17" t="s">
        <v>77</v>
      </c>
    </row>
    <row r="5">
      <c r="A5" s="18"/>
      <c r="B5" s="19" t="s">
        <v>78</v>
      </c>
      <c r="C5" s="19" t="s">
        <v>79</v>
      </c>
      <c r="D5" s="19" t="s">
        <v>80</v>
      </c>
      <c r="E5" s="19" t="s">
        <v>81</v>
      </c>
      <c r="F5" s="19" t="s">
        <v>82</v>
      </c>
      <c r="G5" s="19" t="s">
        <v>83</v>
      </c>
      <c r="H5" s="19" t="s">
        <v>84</v>
      </c>
      <c r="I5" s="19" t="s">
        <v>85</v>
      </c>
      <c r="J5" s="19" t="s">
        <v>86</v>
      </c>
      <c r="K5" s="19" t="s">
        <v>87</v>
      </c>
      <c r="L5" s="19" t="s">
        <v>88</v>
      </c>
      <c r="M5" s="19" t="s">
        <v>89</v>
      </c>
      <c r="N5" s="19" t="s">
        <v>28</v>
      </c>
    </row>
    <row r="6">
      <c r="A6" s="20" t="s">
        <v>29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>
      <c r="A7" s="20" t="s">
        <v>30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2">
        <f t="shared" ref="N7:N11" si="1">(((((((((((B7)+(C7))+(D7))+(E7))+(F7))+(G7))+(H7))+(I7))+(J7))+(K7))+(L7))+(M7)</f>
        <v>0</v>
      </c>
    </row>
    <row r="8">
      <c r="A8" s="20" t="s">
        <v>31</v>
      </c>
      <c r="B8" s="22">
        <f>26437.57</f>
        <v>26437.57</v>
      </c>
      <c r="C8" s="22">
        <f>28028.72</f>
        <v>28028.72</v>
      </c>
      <c r="D8" s="22">
        <f>27389.09</f>
        <v>27389.09</v>
      </c>
      <c r="E8" s="22">
        <f>24449.7</f>
        <v>24449.7</v>
      </c>
      <c r="F8" s="22">
        <f>23953.51</f>
        <v>23953.51</v>
      </c>
      <c r="G8" s="22">
        <f>29005.52</f>
        <v>29005.52</v>
      </c>
      <c r="H8" s="22">
        <f>25028.4</f>
        <v>25028.4</v>
      </c>
      <c r="I8" s="22">
        <f>27417.92</f>
        <v>27417.92</v>
      </c>
      <c r="J8" s="22">
        <f>23267.89</f>
        <v>23267.89</v>
      </c>
      <c r="K8" s="22">
        <f>26754.13</f>
        <v>26754.13</v>
      </c>
      <c r="L8" s="22">
        <f>24336.41</f>
        <v>24336.41</v>
      </c>
      <c r="M8" s="22">
        <f>22390.16</f>
        <v>22390.16</v>
      </c>
      <c r="N8" s="22">
        <f t="shared" si="1"/>
        <v>308459.02</v>
      </c>
    </row>
    <row r="9">
      <c r="A9" s="20" t="s">
        <v>33</v>
      </c>
      <c r="B9" s="23">
        <f t="shared" ref="B9:M9" si="2">(B7)+(B8)</f>
        <v>26437.57</v>
      </c>
      <c r="C9" s="23">
        <f t="shared" si="2"/>
        <v>28028.72</v>
      </c>
      <c r="D9" s="23">
        <f t="shared" si="2"/>
        <v>27389.09</v>
      </c>
      <c r="E9" s="23">
        <f t="shared" si="2"/>
        <v>24449.7</v>
      </c>
      <c r="F9" s="23">
        <f t="shared" si="2"/>
        <v>23953.51</v>
      </c>
      <c r="G9" s="23">
        <f t="shared" si="2"/>
        <v>29005.52</v>
      </c>
      <c r="H9" s="23">
        <f t="shared" si="2"/>
        <v>25028.4</v>
      </c>
      <c r="I9" s="23">
        <f t="shared" si="2"/>
        <v>27417.92</v>
      </c>
      <c r="J9" s="23">
        <f t="shared" si="2"/>
        <v>23267.89</v>
      </c>
      <c r="K9" s="23">
        <f t="shared" si="2"/>
        <v>26754.13</v>
      </c>
      <c r="L9" s="23">
        <f t="shared" si="2"/>
        <v>24336.41</v>
      </c>
      <c r="M9" s="23">
        <f t="shared" si="2"/>
        <v>22390.16</v>
      </c>
      <c r="N9" s="23">
        <f t="shared" si="1"/>
        <v>308459.02</v>
      </c>
    </row>
    <row r="10">
      <c r="A10" s="20" t="s">
        <v>37</v>
      </c>
      <c r="B10" s="23">
        <f t="shared" ref="B10:M10" si="3">B9</f>
        <v>26437.57</v>
      </c>
      <c r="C10" s="23">
        <f t="shared" si="3"/>
        <v>28028.72</v>
      </c>
      <c r="D10" s="23">
        <f t="shared" si="3"/>
        <v>27389.09</v>
      </c>
      <c r="E10" s="23">
        <f t="shared" si="3"/>
        <v>24449.7</v>
      </c>
      <c r="F10" s="23">
        <f t="shared" si="3"/>
        <v>23953.51</v>
      </c>
      <c r="G10" s="23">
        <f t="shared" si="3"/>
        <v>29005.52</v>
      </c>
      <c r="H10" s="23">
        <f t="shared" si="3"/>
        <v>25028.4</v>
      </c>
      <c r="I10" s="23">
        <f t="shared" si="3"/>
        <v>27417.92</v>
      </c>
      <c r="J10" s="23">
        <f t="shared" si="3"/>
        <v>23267.89</v>
      </c>
      <c r="K10" s="23">
        <f t="shared" si="3"/>
        <v>26754.13</v>
      </c>
      <c r="L10" s="23">
        <f t="shared" si="3"/>
        <v>24336.41</v>
      </c>
      <c r="M10" s="23">
        <f t="shared" si="3"/>
        <v>22390.16</v>
      </c>
      <c r="N10" s="23">
        <f t="shared" si="1"/>
        <v>308459.02</v>
      </c>
    </row>
    <row r="11">
      <c r="A11" s="20" t="s">
        <v>38</v>
      </c>
      <c r="B11" s="23">
        <f t="shared" ref="B11:M11" si="4">(B10)-(0)</f>
        <v>26437.57</v>
      </c>
      <c r="C11" s="23">
        <f t="shared" si="4"/>
        <v>28028.72</v>
      </c>
      <c r="D11" s="23">
        <f t="shared" si="4"/>
        <v>27389.09</v>
      </c>
      <c r="E11" s="23">
        <f t="shared" si="4"/>
        <v>24449.7</v>
      </c>
      <c r="F11" s="23">
        <f t="shared" si="4"/>
        <v>23953.51</v>
      </c>
      <c r="G11" s="23">
        <f t="shared" si="4"/>
        <v>29005.52</v>
      </c>
      <c r="H11" s="23">
        <f t="shared" si="4"/>
        <v>25028.4</v>
      </c>
      <c r="I11" s="23">
        <f t="shared" si="4"/>
        <v>27417.92</v>
      </c>
      <c r="J11" s="23">
        <f t="shared" si="4"/>
        <v>23267.89</v>
      </c>
      <c r="K11" s="23">
        <f t="shared" si="4"/>
        <v>26754.13</v>
      </c>
      <c r="L11" s="23">
        <f t="shared" si="4"/>
        <v>24336.41</v>
      </c>
      <c r="M11" s="23">
        <f t="shared" si="4"/>
        <v>22390.16</v>
      </c>
      <c r="N11" s="23">
        <f t="shared" si="1"/>
        <v>308459.02</v>
      </c>
    </row>
    <row r="12">
      <c r="A12" s="20" t="s">
        <v>39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>
      <c r="A13" s="20" t="s">
        <v>104</v>
      </c>
      <c r="B13" s="21"/>
      <c r="C13" s="21"/>
      <c r="D13" s="21"/>
      <c r="E13" s="21"/>
      <c r="F13" s="21"/>
      <c r="G13" s="21"/>
      <c r="H13" s="21"/>
      <c r="I13" s="22">
        <f>13.87</f>
        <v>13.87</v>
      </c>
      <c r="J13" s="21"/>
      <c r="K13" s="21"/>
      <c r="L13" s="21"/>
      <c r="M13" s="21"/>
      <c r="N13" s="22">
        <f t="shared" ref="N13:N41" si="5">(((((((((((B13)+(C13))+(D13))+(E13))+(F13))+(G13))+(H13))+(I13))+(J13))+(K13))+(L13))+(M13)</f>
        <v>13.87</v>
      </c>
    </row>
    <row r="14">
      <c r="A14" s="20" t="s">
        <v>105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2">
        <f t="shared" si="5"/>
        <v>0</v>
      </c>
    </row>
    <row r="15">
      <c r="A15" s="20" t="s">
        <v>106</v>
      </c>
      <c r="B15" s="21"/>
      <c r="C15" s="21"/>
      <c r="D15" s="21"/>
      <c r="E15" s="21"/>
      <c r="F15" s="21"/>
      <c r="G15" s="22">
        <f>365.08</f>
        <v>365.08</v>
      </c>
      <c r="H15" s="21"/>
      <c r="I15" s="21"/>
      <c r="J15" s="21"/>
      <c r="K15" s="21"/>
      <c r="L15" s="21"/>
      <c r="M15" s="21"/>
      <c r="N15" s="22">
        <f t="shared" si="5"/>
        <v>365.08</v>
      </c>
    </row>
    <row r="16">
      <c r="A16" s="20" t="s">
        <v>107</v>
      </c>
      <c r="B16" s="23">
        <f t="shared" ref="B16:M16" si="6">(B14)+(B15)</f>
        <v>0</v>
      </c>
      <c r="C16" s="23">
        <f t="shared" si="6"/>
        <v>0</v>
      </c>
      <c r="D16" s="23">
        <f t="shared" si="6"/>
        <v>0</v>
      </c>
      <c r="E16" s="23">
        <f t="shared" si="6"/>
        <v>0</v>
      </c>
      <c r="F16" s="23">
        <f t="shared" si="6"/>
        <v>0</v>
      </c>
      <c r="G16" s="23">
        <f t="shared" si="6"/>
        <v>365.08</v>
      </c>
      <c r="H16" s="23">
        <f t="shared" si="6"/>
        <v>0</v>
      </c>
      <c r="I16" s="23">
        <f t="shared" si="6"/>
        <v>0</v>
      </c>
      <c r="J16" s="23">
        <f t="shared" si="6"/>
        <v>0</v>
      </c>
      <c r="K16" s="23">
        <f t="shared" si="6"/>
        <v>0</v>
      </c>
      <c r="L16" s="23">
        <f t="shared" si="6"/>
        <v>0</v>
      </c>
      <c r="M16" s="23">
        <f t="shared" si="6"/>
        <v>0</v>
      </c>
      <c r="N16" s="23">
        <f t="shared" si="5"/>
        <v>365.08</v>
      </c>
    </row>
    <row r="17">
      <c r="A17" s="20" t="s">
        <v>121</v>
      </c>
      <c r="B17" s="22">
        <f>10</f>
        <v>10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>
        <f t="shared" si="5"/>
        <v>10</v>
      </c>
    </row>
    <row r="18">
      <c r="A18" s="20" t="s">
        <v>122</v>
      </c>
      <c r="B18" s="21"/>
      <c r="C18" s="21"/>
      <c r="D18" s="21"/>
      <c r="E18" s="21"/>
      <c r="F18" s="21"/>
      <c r="G18" s="22">
        <f>68</f>
        <v>68</v>
      </c>
      <c r="H18" s="21"/>
      <c r="I18" s="21"/>
      <c r="J18" s="21"/>
      <c r="K18" s="21"/>
      <c r="L18" s="21"/>
      <c r="M18" s="21"/>
      <c r="N18" s="22">
        <f t="shared" si="5"/>
        <v>68</v>
      </c>
    </row>
    <row r="19">
      <c r="A19" s="20" t="s">
        <v>45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>
        <f t="shared" si="5"/>
        <v>0</v>
      </c>
    </row>
    <row r="20">
      <c r="A20" s="20" t="s">
        <v>46</v>
      </c>
      <c r="B20" s="22">
        <f>1744.88</f>
        <v>1744.88</v>
      </c>
      <c r="C20" s="22">
        <f>1740.62</f>
        <v>1740.62</v>
      </c>
      <c r="D20" s="22">
        <f>1590.62</f>
        <v>1590.62</v>
      </c>
      <c r="E20" s="22">
        <f>1621.25</f>
        <v>1621.25</v>
      </c>
      <c r="F20" s="22">
        <f>1815.94</f>
        <v>1815.94</v>
      </c>
      <c r="G20" s="22">
        <f>1752.02</f>
        <v>1752.02</v>
      </c>
      <c r="H20" s="21"/>
      <c r="I20" s="22">
        <f>1701.47</f>
        <v>1701.47</v>
      </c>
      <c r="J20" s="22">
        <f>1761.93</f>
        <v>1761.93</v>
      </c>
      <c r="K20" s="22">
        <f>1743.69</f>
        <v>1743.69</v>
      </c>
      <c r="L20" s="22">
        <f>1722.6</f>
        <v>1722.6</v>
      </c>
      <c r="M20" s="22">
        <f>1666.19</f>
        <v>1666.19</v>
      </c>
      <c r="N20" s="22">
        <f t="shared" si="5"/>
        <v>18861.21</v>
      </c>
    </row>
    <row r="21" ht="15.75" customHeight="1">
      <c r="A21" s="20" t="s">
        <v>47</v>
      </c>
      <c r="B21" s="21"/>
      <c r="C21" s="22">
        <f>1500</f>
        <v>1500</v>
      </c>
      <c r="D21" s="22">
        <f>50</f>
        <v>50</v>
      </c>
      <c r="E21" s="21"/>
      <c r="F21" s="21"/>
      <c r="G21" s="22">
        <f>500</f>
        <v>500</v>
      </c>
      <c r="H21" s="21"/>
      <c r="I21" s="21"/>
      <c r="J21" s="21"/>
      <c r="K21" s="21"/>
      <c r="L21" s="21"/>
      <c r="M21" s="21"/>
      <c r="N21" s="22">
        <f t="shared" si="5"/>
        <v>2050</v>
      </c>
    </row>
    <row r="22" ht="15.75" customHeight="1">
      <c r="A22" s="20" t="s">
        <v>123</v>
      </c>
      <c r="B22" s="22">
        <f>2921.97</f>
        <v>2921.97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>
        <f t="shared" si="5"/>
        <v>2921.97</v>
      </c>
    </row>
    <row r="23" ht="15.75" customHeight="1">
      <c r="A23" s="20" t="s">
        <v>48</v>
      </c>
      <c r="B23" s="23">
        <f t="shared" ref="B23:M23" si="7">(((B19)+(B20))+(B21))+(B22)</f>
        <v>4666.85</v>
      </c>
      <c r="C23" s="23">
        <f t="shared" si="7"/>
        <v>3240.62</v>
      </c>
      <c r="D23" s="23">
        <f t="shared" si="7"/>
        <v>1640.62</v>
      </c>
      <c r="E23" s="23">
        <f t="shared" si="7"/>
        <v>1621.25</v>
      </c>
      <c r="F23" s="23">
        <f t="shared" si="7"/>
        <v>1815.94</v>
      </c>
      <c r="G23" s="23">
        <f t="shared" si="7"/>
        <v>2252.02</v>
      </c>
      <c r="H23" s="23">
        <f t="shared" si="7"/>
        <v>0</v>
      </c>
      <c r="I23" s="23">
        <f t="shared" si="7"/>
        <v>1701.47</v>
      </c>
      <c r="J23" s="23">
        <f t="shared" si="7"/>
        <v>1761.93</v>
      </c>
      <c r="K23" s="23">
        <f t="shared" si="7"/>
        <v>1743.69</v>
      </c>
      <c r="L23" s="23">
        <f t="shared" si="7"/>
        <v>1722.6</v>
      </c>
      <c r="M23" s="23">
        <f t="shared" si="7"/>
        <v>1666.19</v>
      </c>
      <c r="N23" s="23">
        <f t="shared" si="5"/>
        <v>23833.18</v>
      </c>
    </row>
    <row r="24" ht="15.75" customHeight="1">
      <c r="A24" s="20" t="s">
        <v>109</v>
      </c>
      <c r="B24" s="22">
        <f>20</f>
        <v>20</v>
      </c>
      <c r="C24" s="21"/>
      <c r="D24" s="21"/>
      <c r="E24" s="21"/>
      <c r="F24" s="21"/>
      <c r="G24" s="22">
        <f>20</f>
        <v>20</v>
      </c>
      <c r="H24" s="21"/>
      <c r="I24" s="21"/>
      <c r="J24" s="22">
        <f t="shared" ref="J24:L24" si="8">20</f>
        <v>20</v>
      </c>
      <c r="K24" s="22">
        <f t="shared" si="8"/>
        <v>20</v>
      </c>
      <c r="L24" s="22">
        <f t="shared" si="8"/>
        <v>20</v>
      </c>
      <c r="M24" s="21"/>
      <c r="N24" s="22">
        <f t="shared" si="5"/>
        <v>100</v>
      </c>
    </row>
    <row r="25" ht="15.75" customHeight="1">
      <c r="A25" s="20" t="s">
        <v>49</v>
      </c>
      <c r="B25" s="22">
        <f>1574.03</f>
        <v>1574.03</v>
      </c>
      <c r="C25" s="22">
        <f>3455.84</f>
        <v>3455.84</v>
      </c>
      <c r="D25" s="22">
        <f>959.58</f>
        <v>959.58</v>
      </c>
      <c r="E25" s="22">
        <f>1017.99</f>
        <v>1017.99</v>
      </c>
      <c r="F25" s="22">
        <f>3131.34</f>
        <v>3131.34</v>
      </c>
      <c r="G25" s="22">
        <f>2636.65</f>
        <v>2636.65</v>
      </c>
      <c r="H25" s="22">
        <f>3307.82</f>
        <v>3307.82</v>
      </c>
      <c r="I25" s="22">
        <f>1980.08</f>
        <v>1980.08</v>
      </c>
      <c r="J25" s="22">
        <f>1816.5</f>
        <v>1816.5</v>
      </c>
      <c r="K25" s="22">
        <f>917.5</f>
        <v>917.5</v>
      </c>
      <c r="L25" s="22">
        <f>982.4</f>
        <v>982.4</v>
      </c>
      <c r="M25" s="22">
        <f>2419.53</f>
        <v>2419.53</v>
      </c>
      <c r="N25" s="22">
        <f t="shared" si="5"/>
        <v>24199.26</v>
      </c>
    </row>
    <row r="26" ht="15.75" customHeight="1">
      <c r="A26" s="20" t="s">
        <v>52</v>
      </c>
      <c r="B26" s="21"/>
      <c r="C26" s="21"/>
      <c r="D26" s="21"/>
      <c r="E26" s="21"/>
      <c r="F26" s="21"/>
      <c r="G26" s="21"/>
      <c r="H26" s="21"/>
      <c r="I26" s="21"/>
      <c r="J26" s="22">
        <f>28.66</f>
        <v>28.66</v>
      </c>
      <c r="K26" s="21"/>
      <c r="L26" s="22">
        <f>40.47</f>
        <v>40.47</v>
      </c>
      <c r="M26" s="22">
        <f>120</f>
        <v>120</v>
      </c>
      <c r="N26" s="22">
        <f t="shared" si="5"/>
        <v>189.13</v>
      </c>
    </row>
    <row r="27" ht="15.75" customHeight="1">
      <c r="A27" s="20" t="s">
        <v>110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2">
        <f t="shared" si="5"/>
        <v>0</v>
      </c>
    </row>
    <row r="28" ht="15.75" customHeight="1">
      <c r="A28" s="20" t="s">
        <v>55</v>
      </c>
      <c r="B28" s="22">
        <f>4051.52</f>
        <v>4051.52</v>
      </c>
      <c r="C28" s="22">
        <f>5444.95</f>
        <v>5444.95</v>
      </c>
      <c r="D28" s="22">
        <f>8234.83</f>
        <v>8234.83</v>
      </c>
      <c r="E28" s="22">
        <f>2593.73</f>
        <v>2593.73</v>
      </c>
      <c r="F28" s="21"/>
      <c r="G28" s="22">
        <f>1652.52</f>
        <v>1652.52</v>
      </c>
      <c r="H28" s="22">
        <f>4328.01</f>
        <v>4328.01</v>
      </c>
      <c r="I28" s="22">
        <f>2527.47</f>
        <v>2527.47</v>
      </c>
      <c r="J28" s="21"/>
      <c r="K28" s="22">
        <f>4390.91</f>
        <v>4390.91</v>
      </c>
      <c r="L28" s="22">
        <f>2048.51</f>
        <v>2048.51</v>
      </c>
      <c r="M28" s="22">
        <f>2965.22</f>
        <v>2965.22</v>
      </c>
      <c r="N28" s="22">
        <f t="shared" si="5"/>
        <v>38237.67</v>
      </c>
    </row>
    <row r="29" ht="15.75" customHeight="1">
      <c r="A29" s="20" t="s">
        <v>56</v>
      </c>
      <c r="B29" s="22">
        <f>357.12</f>
        <v>357.12</v>
      </c>
      <c r="C29" s="22">
        <f>372.82</f>
        <v>372.82</v>
      </c>
      <c r="D29" s="22">
        <f>347.64</f>
        <v>347.64</v>
      </c>
      <c r="E29" s="22">
        <f>324.3</f>
        <v>324.3</v>
      </c>
      <c r="F29" s="22">
        <f>342.71</f>
        <v>342.71</v>
      </c>
      <c r="G29" s="22">
        <f>280.12</f>
        <v>280.12</v>
      </c>
      <c r="H29" s="22">
        <f>258.09</f>
        <v>258.09</v>
      </c>
      <c r="I29" s="22">
        <f>247.72</f>
        <v>247.72</v>
      </c>
      <c r="J29" s="22">
        <f>184.74</f>
        <v>184.74</v>
      </c>
      <c r="K29" s="22">
        <f>190</f>
        <v>190</v>
      </c>
      <c r="L29" s="22">
        <f>197.33</f>
        <v>197.33</v>
      </c>
      <c r="M29" s="22">
        <f>223.94</f>
        <v>223.94</v>
      </c>
      <c r="N29" s="22">
        <f t="shared" si="5"/>
        <v>3326.53</v>
      </c>
    </row>
    <row r="30" ht="15.75" customHeight="1">
      <c r="A30" s="20" t="s">
        <v>57</v>
      </c>
      <c r="B30" s="22">
        <f>425.68</f>
        <v>425.68</v>
      </c>
      <c r="C30" s="22">
        <f>438.34</f>
        <v>438.34</v>
      </c>
      <c r="D30" s="22">
        <f>422.52</f>
        <v>422.52</v>
      </c>
      <c r="E30" s="22">
        <f>444.67</f>
        <v>444.67</v>
      </c>
      <c r="F30" s="22">
        <f>410.9</f>
        <v>410.9</v>
      </c>
      <c r="G30" s="22">
        <f>443.14</f>
        <v>443.14</v>
      </c>
      <c r="H30" s="22">
        <f>815.36</f>
        <v>815.36</v>
      </c>
      <c r="I30" s="21"/>
      <c r="J30" s="22">
        <f>431.63</f>
        <v>431.63</v>
      </c>
      <c r="K30" s="22">
        <f>403.53</f>
        <v>403.53</v>
      </c>
      <c r="L30" s="22">
        <f>426.1</f>
        <v>426.1</v>
      </c>
      <c r="M30" s="22">
        <f>422.88</f>
        <v>422.88</v>
      </c>
      <c r="N30" s="22">
        <f t="shared" si="5"/>
        <v>5084.75</v>
      </c>
    </row>
    <row r="31" ht="15.75" customHeight="1">
      <c r="A31" s="20" t="s">
        <v>111</v>
      </c>
      <c r="B31" s="22">
        <f>511.07</f>
        <v>511.07</v>
      </c>
      <c r="C31" s="22">
        <f>513.25</f>
        <v>513.25</v>
      </c>
      <c r="D31" s="22">
        <f>504.23</f>
        <v>504.23</v>
      </c>
      <c r="E31" s="21"/>
      <c r="F31" s="22">
        <f>998.43</f>
        <v>998.43</v>
      </c>
      <c r="G31" s="22">
        <f>541.99</f>
        <v>541.99</v>
      </c>
      <c r="H31" s="21"/>
      <c r="I31" s="22">
        <f>1088.9</f>
        <v>1088.9</v>
      </c>
      <c r="J31" s="21"/>
      <c r="K31" s="22">
        <f>1672.73</f>
        <v>1672.73</v>
      </c>
      <c r="L31" s="21"/>
      <c r="M31" s="22">
        <f>726.47</f>
        <v>726.47</v>
      </c>
      <c r="N31" s="22">
        <f t="shared" si="5"/>
        <v>6557.07</v>
      </c>
    </row>
    <row r="32" ht="15.75" customHeight="1">
      <c r="A32" s="20" t="s">
        <v>112</v>
      </c>
      <c r="B32" s="23">
        <f t="shared" ref="B32:M32" si="9">((((B27)+(B28))+(B29))+(B30))+(B31)</f>
        <v>5345.39</v>
      </c>
      <c r="C32" s="23">
        <f t="shared" si="9"/>
        <v>6769.36</v>
      </c>
      <c r="D32" s="23">
        <f t="shared" si="9"/>
        <v>9509.22</v>
      </c>
      <c r="E32" s="23">
        <f t="shared" si="9"/>
        <v>3362.7</v>
      </c>
      <c r="F32" s="23">
        <f t="shared" si="9"/>
        <v>1752.04</v>
      </c>
      <c r="G32" s="23">
        <f t="shared" si="9"/>
        <v>2917.77</v>
      </c>
      <c r="H32" s="23">
        <f t="shared" si="9"/>
        <v>5401.46</v>
      </c>
      <c r="I32" s="23">
        <f t="shared" si="9"/>
        <v>3864.09</v>
      </c>
      <c r="J32" s="23">
        <f t="shared" si="9"/>
        <v>616.37</v>
      </c>
      <c r="K32" s="23">
        <f t="shared" si="9"/>
        <v>6657.17</v>
      </c>
      <c r="L32" s="23">
        <f t="shared" si="9"/>
        <v>2671.94</v>
      </c>
      <c r="M32" s="23">
        <f t="shared" si="9"/>
        <v>4338.51</v>
      </c>
      <c r="N32" s="23">
        <f t="shared" si="5"/>
        <v>53206.02</v>
      </c>
    </row>
    <row r="33" ht="15.75" customHeight="1">
      <c r="A33" s="20" t="s">
        <v>61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2">
        <f t="shared" si="5"/>
        <v>0</v>
      </c>
    </row>
    <row r="34" ht="15.75" customHeight="1">
      <c r="A34" s="20" t="s">
        <v>113</v>
      </c>
      <c r="B34" s="22">
        <f>450</f>
        <v>450</v>
      </c>
      <c r="C34" s="22">
        <f>280</f>
        <v>280</v>
      </c>
      <c r="D34" s="22">
        <f>225</f>
        <v>225</v>
      </c>
      <c r="E34" s="22">
        <f>1310</f>
        <v>1310</v>
      </c>
      <c r="F34" s="21"/>
      <c r="G34" s="21"/>
      <c r="H34" s="21"/>
      <c r="I34" s="21"/>
      <c r="J34" s="21"/>
      <c r="K34" s="21"/>
      <c r="L34" s="21"/>
      <c r="M34" s="22">
        <f>985</f>
        <v>985</v>
      </c>
      <c r="N34" s="22">
        <f t="shared" si="5"/>
        <v>3250</v>
      </c>
    </row>
    <row r="35" ht="15.75" customHeight="1">
      <c r="A35" s="20" t="s">
        <v>63</v>
      </c>
      <c r="B35" s="21"/>
      <c r="C35" s="21"/>
      <c r="D35" s="22">
        <f>370</f>
        <v>370</v>
      </c>
      <c r="E35" s="21"/>
      <c r="F35" s="22">
        <f>1027.32</f>
        <v>1027.32</v>
      </c>
      <c r="G35" s="22">
        <f>420</f>
        <v>420</v>
      </c>
      <c r="H35" s="22">
        <f>870</f>
        <v>870</v>
      </c>
      <c r="I35" s="22">
        <f>2675</f>
        <v>2675</v>
      </c>
      <c r="J35" s="22">
        <f>280</f>
        <v>280</v>
      </c>
      <c r="K35" s="22">
        <f>1720</f>
        <v>1720</v>
      </c>
      <c r="L35" s="21"/>
      <c r="M35" s="22">
        <f>225</f>
        <v>225</v>
      </c>
      <c r="N35" s="22">
        <f t="shared" si="5"/>
        <v>7587.32</v>
      </c>
    </row>
    <row r="36" ht="15.75" customHeight="1">
      <c r="A36" s="20" t="s">
        <v>65</v>
      </c>
      <c r="B36" s="21"/>
      <c r="C36" s="21"/>
      <c r="D36" s="21"/>
      <c r="E36" s="21"/>
      <c r="F36" s="21"/>
      <c r="G36" s="22">
        <f>273.75</f>
        <v>273.75</v>
      </c>
      <c r="H36" s="21"/>
      <c r="I36" s="21"/>
      <c r="J36" s="21"/>
      <c r="K36" s="21"/>
      <c r="L36" s="21"/>
      <c r="M36" s="21"/>
      <c r="N36" s="22">
        <f t="shared" si="5"/>
        <v>273.75</v>
      </c>
    </row>
    <row r="37" ht="15.75" customHeight="1">
      <c r="A37" s="20" t="s">
        <v>66</v>
      </c>
      <c r="B37" s="23">
        <f t="shared" ref="B37:M37" si="10">(((B33)+(B34))+(B35))+(B36)</f>
        <v>450</v>
      </c>
      <c r="C37" s="23">
        <f t="shared" si="10"/>
        <v>280</v>
      </c>
      <c r="D37" s="23">
        <f t="shared" si="10"/>
        <v>595</v>
      </c>
      <c r="E37" s="23">
        <f t="shared" si="10"/>
        <v>1310</v>
      </c>
      <c r="F37" s="23">
        <f t="shared" si="10"/>
        <v>1027.32</v>
      </c>
      <c r="G37" s="23">
        <f t="shared" si="10"/>
        <v>693.75</v>
      </c>
      <c r="H37" s="23">
        <f t="shared" si="10"/>
        <v>870</v>
      </c>
      <c r="I37" s="23">
        <f t="shared" si="10"/>
        <v>2675</v>
      </c>
      <c r="J37" s="23">
        <f t="shared" si="10"/>
        <v>280</v>
      </c>
      <c r="K37" s="23">
        <f t="shared" si="10"/>
        <v>1720</v>
      </c>
      <c r="L37" s="23">
        <f t="shared" si="10"/>
        <v>0</v>
      </c>
      <c r="M37" s="23">
        <f t="shared" si="10"/>
        <v>1210</v>
      </c>
      <c r="N37" s="23">
        <f t="shared" si="5"/>
        <v>11111.07</v>
      </c>
    </row>
    <row r="38" ht="15.75" customHeight="1">
      <c r="A38" s="20" t="s">
        <v>114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2">
        <f t="shared" si="5"/>
        <v>0</v>
      </c>
    </row>
    <row r="39" ht="15.75" customHeight="1">
      <c r="A39" s="20" t="s">
        <v>68</v>
      </c>
      <c r="B39" s="21"/>
      <c r="C39" s="21"/>
      <c r="D39" s="21"/>
      <c r="E39" s="21"/>
      <c r="F39" s="21"/>
      <c r="G39" s="21"/>
      <c r="H39" s="21"/>
      <c r="I39" s="21"/>
      <c r="J39" s="22">
        <f>-4795.57</f>
        <v>-4795.57</v>
      </c>
      <c r="K39" s="21"/>
      <c r="L39" s="21"/>
      <c r="M39" s="22">
        <f>16613.13</f>
        <v>16613.13</v>
      </c>
      <c r="N39" s="22">
        <f t="shared" si="5"/>
        <v>11817.56</v>
      </c>
    </row>
    <row r="40" ht="15.75" customHeight="1">
      <c r="A40" s="20" t="s">
        <v>115</v>
      </c>
      <c r="B40" s="23">
        <f t="shared" ref="B40:M40" si="11">(B38)+(B39)</f>
        <v>0</v>
      </c>
      <c r="C40" s="23">
        <f t="shared" si="11"/>
        <v>0</v>
      </c>
      <c r="D40" s="23">
        <f t="shared" si="11"/>
        <v>0</v>
      </c>
      <c r="E40" s="23">
        <f t="shared" si="11"/>
        <v>0</v>
      </c>
      <c r="F40" s="23">
        <f t="shared" si="11"/>
        <v>0</v>
      </c>
      <c r="G40" s="23">
        <f t="shared" si="11"/>
        <v>0</v>
      </c>
      <c r="H40" s="23">
        <f t="shared" si="11"/>
        <v>0</v>
      </c>
      <c r="I40" s="23">
        <f t="shared" si="11"/>
        <v>0</v>
      </c>
      <c r="J40" s="23">
        <f t="shared" si="11"/>
        <v>-4795.57</v>
      </c>
      <c r="K40" s="23">
        <f t="shared" si="11"/>
        <v>0</v>
      </c>
      <c r="L40" s="23">
        <f t="shared" si="11"/>
        <v>0</v>
      </c>
      <c r="M40" s="23">
        <f t="shared" si="11"/>
        <v>16613.13</v>
      </c>
      <c r="N40" s="23">
        <f t="shared" si="5"/>
        <v>11817.56</v>
      </c>
    </row>
    <row r="41" ht="15.75" customHeight="1">
      <c r="A41" s="20" t="s">
        <v>116</v>
      </c>
      <c r="B41" s="21"/>
      <c r="C41" s="21"/>
      <c r="D41" s="21"/>
      <c r="E41" s="21"/>
      <c r="F41" s="21"/>
      <c r="G41" s="21"/>
      <c r="H41" s="21"/>
      <c r="I41" s="22">
        <f>15749</f>
        <v>15749</v>
      </c>
      <c r="J41" s="21"/>
      <c r="K41" s="21"/>
      <c r="L41" s="21"/>
      <c r="M41" s="21"/>
      <c r="N41" s="22">
        <f t="shared" si="5"/>
        <v>15749</v>
      </c>
    </row>
    <row r="42" ht="15.75" customHeight="1">
      <c r="A42" s="20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ht="15.75" customHeight="1">
      <c r="A43" s="20" t="s">
        <v>73</v>
      </c>
      <c r="B43" s="23">
        <f t="shared" ref="B43:M43" si="12">((((((((((((B13)+(B16))+(B17))+(B18))+(B23))+(B24))+(B25))+(B26))+(B32))+(B37))+(B40))+(B41))+(B42)</f>
        <v>12066.27</v>
      </c>
      <c r="C43" s="23">
        <f t="shared" si="12"/>
        <v>13745.82</v>
      </c>
      <c r="D43" s="23">
        <f t="shared" si="12"/>
        <v>12704.42</v>
      </c>
      <c r="E43" s="23">
        <f t="shared" si="12"/>
        <v>7311.94</v>
      </c>
      <c r="F43" s="23">
        <f t="shared" si="12"/>
        <v>7726.64</v>
      </c>
      <c r="G43" s="23">
        <f t="shared" si="12"/>
        <v>8953.27</v>
      </c>
      <c r="H43" s="23">
        <f t="shared" si="12"/>
        <v>9579.28</v>
      </c>
      <c r="I43" s="23">
        <f t="shared" si="12"/>
        <v>25983.51</v>
      </c>
      <c r="J43" s="23">
        <f t="shared" si="12"/>
        <v>-272.11</v>
      </c>
      <c r="K43" s="23">
        <f t="shared" si="12"/>
        <v>11058.36</v>
      </c>
      <c r="L43" s="23">
        <f t="shared" si="12"/>
        <v>5437.41</v>
      </c>
      <c r="M43" s="23">
        <f t="shared" si="12"/>
        <v>26367.36</v>
      </c>
      <c r="N43" s="23">
        <f t="shared" ref="N43:N44" si="14">(((((((((((B43)+(C43))+(D43))+(E43))+(F43))+(G43))+(H43))+(I43))+(J43))+(K43))+(L43))+(M43)</f>
        <v>140662.17</v>
      </c>
    </row>
    <row r="44" ht="15.75" customHeight="1">
      <c r="A44" s="20" t="s">
        <v>74</v>
      </c>
      <c r="B44" s="23">
        <f t="shared" ref="B44:M44" si="13">(B11)-(B43)</f>
        <v>14371.3</v>
      </c>
      <c r="C44" s="23">
        <f t="shared" si="13"/>
        <v>14282.9</v>
      </c>
      <c r="D44" s="23">
        <f t="shared" si="13"/>
        <v>14684.67</v>
      </c>
      <c r="E44" s="23">
        <f t="shared" si="13"/>
        <v>17137.76</v>
      </c>
      <c r="F44" s="23">
        <f t="shared" si="13"/>
        <v>16226.87</v>
      </c>
      <c r="G44" s="23">
        <f t="shared" si="13"/>
        <v>20052.25</v>
      </c>
      <c r="H44" s="23">
        <f t="shared" si="13"/>
        <v>15449.12</v>
      </c>
      <c r="I44" s="23">
        <f t="shared" si="13"/>
        <v>1434.41</v>
      </c>
      <c r="J44" s="23">
        <f t="shared" si="13"/>
        <v>23540</v>
      </c>
      <c r="K44" s="23">
        <f t="shared" si="13"/>
        <v>15695.77</v>
      </c>
      <c r="L44" s="23">
        <f t="shared" si="13"/>
        <v>18899</v>
      </c>
      <c r="M44" s="23">
        <f t="shared" si="13"/>
        <v>-3977.2</v>
      </c>
      <c r="N44" s="23">
        <f t="shared" si="14"/>
        <v>167796.85</v>
      </c>
    </row>
    <row r="45" ht="15.75" customHeight="1">
      <c r="A45" s="20" t="s">
        <v>117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</row>
    <row r="46" ht="15.75" customHeight="1">
      <c r="A46" s="20" t="s">
        <v>118</v>
      </c>
      <c r="B46" s="22">
        <f>38.39</f>
        <v>38.39</v>
      </c>
      <c r="C46" s="22">
        <f>41.1</f>
        <v>41.1</v>
      </c>
      <c r="D46" s="22">
        <f>50.9</f>
        <v>50.9</v>
      </c>
      <c r="E46" s="22">
        <f>72.95</f>
        <v>72.95</v>
      </c>
      <c r="F46" s="22">
        <f>86.87</f>
        <v>86.87</v>
      </c>
      <c r="G46" s="22">
        <f>54.55</f>
        <v>54.55</v>
      </c>
      <c r="H46" s="22">
        <f>72.19</f>
        <v>72.19</v>
      </c>
      <c r="I46" s="22">
        <f>66.63</f>
        <v>66.63</v>
      </c>
      <c r="J46" s="22">
        <f>52.68</f>
        <v>52.68</v>
      </c>
      <c r="K46" s="22">
        <f>52.45</f>
        <v>52.45</v>
      </c>
      <c r="L46" s="22">
        <f>58.19</f>
        <v>58.19</v>
      </c>
      <c r="M46" s="22">
        <f>78.4</f>
        <v>78.4</v>
      </c>
      <c r="N46" s="22">
        <f t="shared" ref="N46:N49" si="16">(((((((((((B46)+(C46))+(D46))+(E46))+(F46))+(G46))+(H46))+(I46))+(J46))+(K46))+(L46))+(M46)</f>
        <v>725.3</v>
      </c>
    </row>
    <row r="47" ht="15.75" customHeight="1">
      <c r="A47" s="20" t="s">
        <v>119</v>
      </c>
      <c r="B47" s="23">
        <f t="shared" ref="B47:M47" si="15">B46</f>
        <v>38.39</v>
      </c>
      <c r="C47" s="23">
        <f t="shared" si="15"/>
        <v>41.1</v>
      </c>
      <c r="D47" s="23">
        <f t="shared" si="15"/>
        <v>50.9</v>
      </c>
      <c r="E47" s="23">
        <f t="shared" si="15"/>
        <v>72.95</v>
      </c>
      <c r="F47" s="23">
        <f t="shared" si="15"/>
        <v>86.87</v>
      </c>
      <c r="G47" s="23">
        <f t="shared" si="15"/>
        <v>54.55</v>
      </c>
      <c r="H47" s="23">
        <f t="shared" si="15"/>
        <v>72.19</v>
      </c>
      <c r="I47" s="23">
        <f t="shared" si="15"/>
        <v>66.63</v>
      </c>
      <c r="J47" s="23">
        <f t="shared" si="15"/>
        <v>52.68</v>
      </c>
      <c r="K47" s="23">
        <f t="shared" si="15"/>
        <v>52.45</v>
      </c>
      <c r="L47" s="23">
        <f t="shared" si="15"/>
        <v>58.19</v>
      </c>
      <c r="M47" s="23">
        <f t="shared" si="15"/>
        <v>78.4</v>
      </c>
      <c r="N47" s="23">
        <f t="shared" si="16"/>
        <v>725.3</v>
      </c>
    </row>
    <row r="48" ht="15.75" customHeight="1">
      <c r="A48" s="20" t="s">
        <v>100</v>
      </c>
      <c r="B48" s="23">
        <f t="shared" ref="B48:M48" si="17">(B47)-(0)</f>
        <v>38.39</v>
      </c>
      <c r="C48" s="23">
        <f t="shared" si="17"/>
        <v>41.1</v>
      </c>
      <c r="D48" s="23">
        <f t="shared" si="17"/>
        <v>50.9</v>
      </c>
      <c r="E48" s="23">
        <f t="shared" si="17"/>
        <v>72.95</v>
      </c>
      <c r="F48" s="23">
        <f t="shared" si="17"/>
        <v>86.87</v>
      </c>
      <c r="G48" s="23">
        <f t="shared" si="17"/>
        <v>54.55</v>
      </c>
      <c r="H48" s="23">
        <f t="shared" si="17"/>
        <v>72.19</v>
      </c>
      <c r="I48" s="23">
        <f t="shared" si="17"/>
        <v>66.63</v>
      </c>
      <c r="J48" s="23">
        <f t="shared" si="17"/>
        <v>52.68</v>
      </c>
      <c r="K48" s="23">
        <f t="shared" si="17"/>
        <v>52.45</v>
      </c>
      <c r="L48" s="23">
        <f t="shared" si="17"/>
        <v>58.19</v>
      </c>
      <c r="M48" s="23">
        <f t="shared" si="17"/>
        <v>78.4</v>
      </c>
      <c r="N48" s="23">
        <f t="shared" si="16"/>
        <v>725.3</v>
      </c>
    </row>
    <row r="49" ht="15.75" customHeight="1">
      <c r="A49" s="20" t="s">
        <v>75</v>
      </c>
      <c r="B49" s="23">
        <f t="shared" ref="B49:M49" si="18">(B44)+(B48)</f>
        <v>14409.69</v>
      </c>
      <c r="C49" s="23">
        <f t="shared" si="18"/>
        <v>14324</v>
      </c>
      <c r="D49" s="23">
        <f t="shared" si="18"/>
        <v>14735.57</v>
      </c>
      <c r="E49" s="23">
        <f t="shared" si="18"/>
        <v>17210.71</v>
      </c>
      <c r="F49" s="23">
        <f t="shared" si="18"/>
        <v>16313.74</v>
      </c>
      <c r="G49" s="23">
        <f t="shared" si="18"/>
        <v>20106.8</v>
      </c>
      <c r="H49" s="23">
        <f t="shared" si="18"/>
        <v>15521.31</v>
      </c>
      <c r="I49" s="23">
        <f t="shared" si="18"/>
        <v>1501.04</v>
      </c>
      <c r="J49" s="23">
        <f t="shared" si="18"/>
        <v>23592.68</v>
      </c>
      <c r="K49" s="23">
        <f t="shared" si="18"/>
        <v>15748.22</v>
      </c>
      <c r="L49" s="23">
        <f t="shared" si="18"/>
        <v>18957.19</v>
      </c>
      <c r="M49" s="23">
        <f t="shared" si="18"/>
        <v>-3898.8</v>
      </c>
      <c r="N49" s="23">
        <f t="shared" si="16"/>
        <v>168522.15</v>
      </c>
    </row>
    <row r="50" ht="15.75" customHeight="1">
      <c r="A50" s="20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ht="15.75" customHeight="1"/>
    <row r="52" ht="15.75" customHeight="1"/>
    <row r="53" ht="15.75" customHeight="1">
      <c r="A53" s="26" t="s">
        <v>124</v>
      </c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N1"/>
    <mergeCell ref="A2:N2"/>
    <mergeCell ref="A3:N3"/>
    <mergeCell ref="A53:N53"/>
  </mergeCells>
  <printOptions/>
  <pageMargins bottom="0.75" footer="0.0" header="0.0" left="0.7" right="0.7" top="0.75"/>
  <pageSetup orientation="landscape"/>
  <drawing r:id="rId1"/>
</worksheet>
</file>