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IL\CIL Ventures\Organization\Equity Partners (possible)\Data Room\Uploaded 2024-5-8\"/>
    </mc:Choice>
  </mc:AlternateContent>
  <xr:revisionPtr revIDLastSave="0" documentId="8_{8F3A1DF3-E23E-4107-9A10-96D6A2420754}" xr6:coauthVersionLast="47" xr6:coauthVersionMax="47" xr10:uidLastSave="{00000000-0000-0000-0000-000000000000}"/>
  <bookViews>
    <workbookView xWindow="-120" yWindow="-120" windowWidth="25440" windowHeight="15390" tabRatio="789" xr2:uid="{432C4076-5AE5-4424-B033-B4679661F5CD}"/>
  </bookViews>
  <sheets>
    <sheet name="Sources &amp; Uses" sheetId="26" r:id="rId1"/>
    <sheet name="Development Costs" sheetId="20" r:id="rId2"/>
    <sheet name="GC Project Costs Detail" sheetId="21" r:id="rId3"/>
    <sheet name="Operating Costs" sheetId="27" r:id="rId4"/>
    <sheet name="ILM FF&amp;E" sheetId="23" r:id="rId5"/>
    <sheet name="Interest Reserve (TBD)" sheetId="25" r:id="rId6"/>
    <sheet name="Paid by Owner" sheetId="28" r:id="rId7"/>
    <sheet name="GC" sheetId="1" r:id="rId8"/>
    <sheet name="2. ILM  Property" sheetId="5" r:id="rId9"/>
    <sheet name="3. ILM Legal" sheetId="6" r:id="rId10"/>
    <sheet name="4. ILM Bond" sheetId="7" r:id="rId11"/>
    <sheet name="5. ILM Insurance" sheetId="8" r:id="rId12"/>
    <sheet name="6. ILM Airport Fees" sheetId="9" r:id="rId13"/>
    <sheet name="7. Consulting" sheetId="12" r:id="rId14"/>
    <sheet name="8. Wages &amp; Ben" sheetId="13" r:id="rId15"/>
    <sheet name="9. Travel" sheetId="14" r:id="rId16"/>
    <sheet name="10. 805 Purchase" sheetId="11" r:id="rId17"/>
    <sheet name="11. 805 Improve" sheetId="2" r:id="rId18"/>
    <sheet name="12. 805 FF&amp;E" sheetId="3" r:id="rId19"/>
    <sheet name="13. 805 Surveys" sheetId="4" r:id="rId20"/>
    <sheet name="14. Frontier" sheetId="10" r:id="rId21"/>
    <sheet name="15. STAR Payoff" sheetId="19" r:id="rId22"/>
    <sheet name="16. Closing Costs" sheetId="15" r:id="rId23"/>
  </sheets>
  <definedNames>
    <definedName name="_xlnm._FilterDatabase" localSheetId="8" hidden="1">'2. ILM  Property'!$A$3:$H$49</definedName>
    <definedName name="_xlnm.Print_Area" localSheetId="15">'9. Travel'!$A:$V</definedName>
    <definedName name="_xlnm.Print_Area" localSheetId="1">'Development Costs'!$A:$Q</definedName>
    <definedName name="_xlnm.Print_Titles" localSheetId="17">'11. 805 Improve'!$1:$3</definedName>
    <definedName name="_xlnm.Print_Titles" localSheetId="18">'12. 805 FF&amp;E'!$1:$3</definedName>
    <definedName name="_xlnm.Print_Titles" localSheetId="20">'14. Frontier'!$1:$3</definedName>
    <definedName name="_xlnm.Print_Titles" localSheetId="8">'2. ILM  Property'!$1:$3</definedName>
    <definedName name="_xlnm.Print_Titles" localSheetId="14">'8. Wages &amp; Ben'!$1:$4</definedName>
    <definedName name="_xlnm.Print_Titles" localSheetId="1">'Development Costs'!$A:$A,'Development Costs'!$1:$6</definedName>
    <definedName name="_xlnm.Print_Titles" localSheetId="7">GC!$1:$5</definedName>
    <definedName name="_xlnm.Print_Titles" localSheetId="2">'GC Project Costs Detail'!$1:$5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20" l="1"/>
  <c r="L39" i="20"/>
  <c r="K39" i="20"/>
  <c r="I40" i="2" l="1"/>
  <c r="C33" i="14"/>
  <c r="B33" i="14"/>
  <c r="K68" i="23"/>
  <c r="H66" i="23"/>
  <c r="K13" i="23"/>
  <c r="C57" i="20" l="1"/>
  <c r="N62" i="20"/>
  <c r="N61" i="20"/>
  <c r="P61" i="20" s="1"/>
  <c r="N60" i="20"/>
  <c r="P60" i="20" s="1"/>
  <c r="N59" i="20"/>
  <c r="P59" i="20" s="1"/>
  <c r="N58" i="20"/>
  <c r="P58" i="20" s="1"/>
  <c r="N57" i="20"/>
  <c r="P57" i="20" s="1"/>
  <c r="N56" i="20"/>
  <c r="N48" i="20"/>
  <c r="N28" i="20"/>
  <c r="N29" i="20"/>
  <c r="P29" i="20" s="1"/>
  <c r="N30" i="20"/>
  <c r="P30" i="20" s="1"/>
  <c r="N31" i="20"/>
  <c r="P31" i="20" s="1"/>
  <c r="N32" i="20"/>
  <c r="P32" i="20" s="1"/>
  <c r="N33" i="20"/>
  <c r="P33" i="20" s="1"/>
  <c r="N34" i="20"/>
  <c r="N35" i="20"/>
  <c r="N36" i="20"/>
  <c r="N37" i="20"/>
  <c r="Q19" i="20"/>
  <c r="E33" i="1"/>
  <c r="O41" i="27"/>
  <c r="P41" i="27"/>
  <c r="Q41" i="27"/>
  <c r="R41" i="27"/>
  <c r="S41" i="27"/>
  <c r="T41" i="27"/>
  <c r="U41" i="27"/>
  <c r="N64" i="20" l="1"/>
  <c r="P56" i="20"/>
  <c r="N19" i="20"/>
  <c r="E40" i="27"/>
  <c r="E45" i="27" l="1"/>
  <c r="D45" i="27"/>
  <c r="D41" i="27"/>
  <c r="G40" i="27"/>
  <c r="H40" i="27"/>
  <c r="I40" i="27"/>
  <c r="J40" i="27"/>
  <c r="K40" i="27"/>
  <c r="D40" i="27"/>
  <c r="F4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G10" i="27"/>
  <c r="E10" i="27"/>
  <c r="F10" i="27"/>
  <c r="D10" i="27"/>
  <c r="E41" i="27"/>
  <c r="F41" i="27"/>
  <c r="G41" i="27"/>
  <c r="H41" i="27"/>
  <c r="I41" i="27"/>
  <c r="J41" i="27"/>
  <c r="K41" i="27"/>
  <c r="L41" i="27"/>
  <c r="M41" i="27"/>
  <c r="N41" i="27"/>
  <c r="W10" i="27" l="1"/>
  <c r="W11" i="27"/>
  <c r="W41" i="27"/>
  <c r="U63" i="27" l="1"/>
  <c r="S63" i="27" l="1"/>
  <c r="T63" i="27"/>
  <c r="S36" i="27" l="1"/>
  <c r="S67" i="27" s="1"/>
  <c r="T36" i="27"/>
  <c r="T67" i="27" s="1"/>
  <c r="U36" i="27"/>
  <c r="U67" i="27" s="1"/>
  <c r="AH53" i="20" l="1"/>
  <c r="AF53" i="20"/>
  <c r="AG53" i="20"/>
  <c r="D8" i="19" l="1"/>
  <c r="E8" i="19"/>
  <c r="D59" i="20" s="1"/>
  <c r="F8" i="19"/>
  <c r="F65" i="10"/>
  <c r="J49" i="20" s="1"/>
  <c r="G65" i="10"/>
  <c r="K49" i="20" s="1"/>
  <c r="H65" i="10"/>
  <c r="L49" i="20" s="1"/>
  <c r="I65" i="10"/>
  <c r="Q49" i="20" s="1"/>
  <c r="J65" i="10"/>
  <c r="T19" i="20"/>
  <c r="AF19" i="20"/>
  <c r="N49" i="20" l="1"/>
  <c r="R41" i="20"/>
  <c r="N33" i="14"/>
  <c r="G33" i="14"/>
  <c r="G32" i="14"/>
  <c r="G31" i="14"/>
  <c r="N31" i="14"/>
  <c r="N32" i="14"/>
  <c r="Z37" i="14"/>
  <c r="L41" i="20" s="1"/>
  <c r="AA37" i="14"/>
  <c r="AB37" i="14"/>
  <c r="L74" i="13"/>
  <c r="J42" i="12"/>
  <c r="I42" i="12"/>
  <c r="H42" i="12"/>
  <c r="G42" i="12"/>
  <c r="H25" i="6"/>
  <c r="I25" i="6"/>
  <c r="J25" i="6"/>
  <c r="E17" i="23"/>
  <c r="F17" i="23" s="1"/>
  <c r="K70" i="23"/>
  <c r="L70" i="23"/>
  <c r="J70" i="23"/>
  <c r="I70" i="23"/>
  <c r="R61" i="23"/>
  <c r="O61" i="23"/>
  <c r="M61" i="23"/>
  <c r="L61" i="23"/>
  <c r="J61" i="23"/>
  <c r="I61" i="23"/>
  <c r="H65" i="23"/>
  <c r="H67" i="23"/>
  <c r="H64" i="23"/>
  <c r="V33" i="14" l="1"/>
  <c r="H12" i="23"/>
  <c r="H61" i="23" s="1"/>
  <c r="V32" i="14"/>
  <c r="V31" i="14"/>
  <c r="H70" i="23"/>
  <c r="U46" i="20" l="1"/>
  <c r="X46" i="20"/>
  <c r="X59" i="23"/>
  <c r="S59" i="23"/>
  <c r="X41" i="23"/>
  <c r="X40" i="23"/>
  <c r="K72" i="13"/>
  <c r="K70" i="13"/>
  <c r="K74" i="13" s="1"/>
  <c r="R40" i="20" s="1"/>
  <c r="B63" i="13"/>
  <c r="D63" i="13"/>
  <c r="B64" i="13"/>
  <c r="E64" i="13" s="1"/>
  <c r="D64" i="13"/>
  <c r="J69" i="13"/>
  <c r="J52" i="3"/>
  <c r="K52" i="3"/>
  <c r="F70" i="23"/>
  <c r="R46" i="20" l="1"/>
  <c r="C63" i="13"/>
  <c r="F63" i="13" s="1"/>
  <c r="E63" i="13"/>
  <c r="C64" i="13"/>
  <c r="F64" i="13" s="1"/>
  <c r="J39" i="20"/>
  <c r="J17" i="9"/>
  <c r="Q38" i="20" s="1"/>
  <c r="K17" i="9"/>
  <c r="L47" i="2"/>
  <c r="R27" i="20" s="1"/>
  <c r="K47" i="2"/>
  <c r="Q27" i="20" s="1"/>
  <c r="J51" i="5"/>
  <c r="K51" i="5"/>
  <c r="D62" i="13"/>
  <c r="B62" i="13"/>
  <c r="N39" i="20" l="1"/>
  <c r="Q43" i="20"/>
  <c r="Q46" i="20"/>
  <c r="C62" i="13"/>
  <c r="E62" i="13"/>
  <c r="Q51" i="20" l="1"/>
  <c r="F62" i="13"/>
  <c r="B8" i="19"/>
  <c r="C8" i="19"/>
  <c r="F62" i="21"/>
  <c r="F43" i="21"/>
  <c r="F32" i="21"/>
  <c r="F31" i="21"/>
  <c r="F6" i="21"/>
  <c r="F39" i="21"/>
  <c r="F36" i="21" l="1"/>
  <c r="E62" i="21"/>
  <c r="E57" i="21"/>
  <c r="F53" i="21"/>
  <c r="E53" i="21"/>
  <c r="F40" i="21"/>
  <c r="E40" i="21"/>
  <c r="E36" i="21"/>
  <c r="E54" i="21" s="1"/>
  <c r="E60" i="21" s="1"/>
  <c r="E64" i="21" s="1"/>
  <c r="F54" i="21" l="1"/>
  <c r="F60" i="21" s="1"/>
  <c r="F64" i="21" s="1"/>
  <c r="F67" i="21" s="1"/>
  <c r="F57" i="20"/>
  <c r="H57" i="20" l="1"/>
  <c r="H10" i="26" s="1"/>
  <c r="AC24" i="20"/>
  <c r="AD24" i="20"/>
  <c r="G52" i="3"/>
  <c r="H52" i="3"/>
  <c r="K46" i="20" s="1"/>
  <c r="I52" i="3"/>
  <c r="L46" i="20" s="1"/>
  <c r="I47" i="2"/>
  <c r="K27" i="20" s="1"/>
  <c r="J47" i="2"/>
  <c r="L27" i="20" s="1"/>
  <c r="I51" i="5"/>
  <c r="J68" i="13"/>
  <c r="I67" i="13"/>
  <c r="I66" i="13"/>
  <c r="I65" i="13"/>
  <c r="D61" i="13"/>
  <c r="N46" i="20" l="1"/>
  <c r="Q57" i="20"/>
  <c r="AY57" i="20" s="1"/>
  <c r="I17" i="9"/>
  <c r="L38" i="20" s="1"/>
  <c r="G17" i="9"/>
  <c r="H17" i="9"/>
  <c r="K38" i="20" s="1"/>
  <c r="N38" i="20" s="1"/>
  <c r="F25" i="6"/>
  <c r="G25" i="6"/>
  <c r="B61" i="13"/>
  <c r="D60" i="13"/>
  <c r="B60" i="13"/>
  <c r="E60" i="13" s="1"/>
  <c r="D59" i="13"/>
  <c r="B59" i="13"/>
  <c r="C59" i="13" s="1"/>
  <c r="D34" i="11" a="1"/>
  <c r="D34" i="11" s="1"/>
  <c r="E59" i="13" l="1"/>
  <c r="F59" i="13" s="1"/>
  <c r="C60" i="13"/>
  <c r="F60" i="13" s="1"/>
  <c r="C61" i="13"/>
  <c r="E61" i="13"/>
  <c r="F61" i="13" l="1"/>
  <c r="H74" i="13" l="1"/>
  <c r="J40" i="20" s="1"/>
  <c r="K68" i="20" l="1"/>
  <c r="T33" i="20"/>
  <c r="U33" i="20"/>
  <c r="F33" i="20"/>
  <c r="W12" i="27"/>
  <c r="W13" i="27"/>
  <c r="W14" i="27"/>
  <c r="F15" i="27"/>
  <c r="F36" i="27" s="1"/>
  <c r="G15" i="27"/>
  <c r="G36" i="27" s="1"/>
  <c r="H15" i="27"/>
  <c r="H36" i="27" s="1"/>
  <c r="I15" i="27"/>
  <c r="I36" i="27" s="1"/>
  <c r="W16" i="27"/>
  <c r="W17" i="27"/>
  <c r="W18" i="27"/>
  <c r="W19" i="27"/>
  <c r="W20" i="27"/>
  <c r="W21" i="27"/>
  <c r="W22" i="27"/>
  <c r="W23" i="27"/>
  <c r="W24" i="27"/>
  <c r="W25" i="27"/>
  <c r="W26" i="27"/>
  <c r="W27" i="27"/>
  <c r="W28" i="27"/>
  <c r="W29" i="27"/>
  <c r="W30" i="27"/>
  <c r="W31" i="27"/>
  <c r="W32" i="27"/>
  <c r="W33" i="27"/>
  <c r="W34" i="27"/>
  <c r="D36" i="27"/>
  <c r="E36" i="27"/>
  <c r="J36" i="27"/>
  <c r="K36" i="27"/>
  <c r="L36" i="27"/>
  <c r="M36" i="27"/>
  <c r="N36" i="27"/>
  <c r="O36" i="27"/>
  <c r="P36" i="27"/>
  <c r="Q36" i="27"/>
  <c r="R36" i="27"/>
  <c r="W42" i="27"/>
  <c r="W43" i="27"/>
  <c r="W44" i="27"/>
  <c r="W45" i="27"/>
  <c r="N63" i="27"/>
  <c r="O63" i="27"/>
  <c r="P63" i="27"/>
  <c r="Q63" i="27"/>
  <c r="R63" i="27"/>
  <c r="W47" i="27"/>
  <c r="W48" i="27"/>
  <c r="W49" i="27"/>
  <c r="W50" i="27"/>
  <c r="W51" i="27"/>
  <c r="W52" i="27"/>
  <c r="W53" i="27"/>
  <c r="W39" i="27"/>
  <c r="D63" i="27"/>
  <c r="E63" i="27"/>
  <c r="F63" i="27"/>
  <c r="G63" i="27"/>
  <c r="H63" i="27"/>
  <c r="I63" i="27"/>
  <c r="J63" i="27"/>
  <c r="K63" i="27"/>
  <c r="W54" i="27"/>
  <c r="W55" i="27"/>
  <c r="W56" i="27"/>
  <c r="W57" i="27"/>
  <c r="W58" i="27"/>
  <c r="W59" i="27"/>
  <c r="W60" i="27"/>
  <c r="W61" i="27"/>
  <c r="L63" i="27"/>
  <c r="M63" i="27"/>
  <c r="W65" i="27"/>
  <c r="W69" i="27"/>
  <c r="AN68" i="20" l="1"/>
  <c r="AM68" i="20"/>
  <c r="AQ68" i="20" s="1"/>
  <c r="H33" i="20"/>
  <c r="J67" i="27"/>
  <c r="I67" i="27"/>
  <c r="O67" i="27"/>
  <c r="K67" i="27"/>
  <c r="D67" i="27"/>
  <c r="R67" i="27"/>
  <c r="L67" i="27"/>
  <c r="M67" i="27"/>
  <c r="Q67" i="27"/>
  <c r="P67" i="27"/>
  <c r="R33" i="20"/>
  <c r="V33" i="20" s="1"/>
  <c r="X33" i="20"/>
  <c r="T43" i="20"/>
  <c r="Y33" i="20"/>
  <c r="U43" i="20"/>
  <c r="S33" i="20"/>
  <c r="W15" i="27"/>
  <c r="W36" i="27" s="1"/>
  <c r="G67" i="27"/>
  <c r="N67" i="27"/>
  <c r="W40" i="27"/>
  <c r="W46" i="27"/>
  <c r="E67" i="27"/>
  <c r="H67" i="27"/>
  <c r="F67" i="27"/>
  <c r="Z53" i="20" l="1"/>
  <c r="U53" i="20"/>
  <c r="AE53" i="20"/>
  <c r="AC53" i="20"/>
  <c r="T53" i="20"/>
  <c r="Q53" i="20"/>
  <c r="V53" i="20"/>
  <c r="S53" i="20"/>
  <c r="R53" i="20"/>
  <c r="Y53" i="20"/>
  <c r="X53" i="20"/>
  <c r="AB53" i="20"/>
  <c r="W53" i="20"/>
  <c r="AD53" i="20"/>
  <c r="AA53" i="20"/>
  <c r="W63" i="27"/>
  <c r="W33" i="20"/>
  <c r="S43" i="20"/>
  <c r="AC33" i="20"/>
  <c r="Y43" i="20"/>
  <c r="AB33" i="20"/>
  <c r="X43" i="20"/>
  <c r="Z33" i="20"/>
  <c r="V43" i="20"/>
  <c r="W67" i="27" l="1"/>
  <c r="W76" i="27" s="1"/>
  <c r="AD33" i="20"/>
  <c r="Z43" i="20"/>
  <c r="AF33" i="20"/>
  <c r="AB43" i="20"/>
  <c r="AG33" i="20"/>
  <c r="AC43" i="20"/>
  <c r="AA33" i="20"/>
  <c r="W43" i="20"/>
  <c r="C29" i="26"/>
  <c r="C31" i="26" s="1"/>
  <c r="C34" i="26" s="1"/>
  <c r="Y37" i="14"/>
  <c r="K41" i="20" s="1"/>
  <c r="X37" i="14"/>
  <c r="J41" i="20" s="1"/>
  <c r="F30" i="20"/>
  <c r="AY30" i="20" s="1"/>
  <c r="F31" i="20"/>
  <c r="AY31" i="20" s="1"/>
  <c r="W77" i="27" l="1"/>
  <c r="C53" i="20" s="1"/>
  <c r="N41" i="20"/>
  <c r="AJ33" i="20"/>
  <c r="AF43" i="20"/>
  <c r="AF51" i="20" s="1"/>
  <c r="AE33" i="20"/>
  <c r="AA43" i="20"/>
  <c r="AK33" i="20"/>
  <c r="AG43" i="20"/>
  <c r="AH33" i="20"/>
  <c r="AD43" i="20"/>
  <c r="H30" i="20"/>
  <c r="H31" i="20"/>
  <c r="E29" i="14"/>
  <c r="G29" i="14" s="1"/>
  <c r="N30" i="14"/>
  <c r="G30" i="14"/>
  <c r="I74" i="13"/>
  <c r="K40" i="20" s="1"/>
  <c r="J74" i="13"/>
  <c r="B57" i="13"/>
  <c r="C57" i="13" s="1"/>
  <c r="D57" i="13"/>
  <c r="B58" i="13"/>
  <c r="E58" i="13" s="1"/>
  <c r="D58" i="13"/>
  <c r="K43" i="20" l="1"/>
  <c r="R43" i="20"/>
  <c r="L40" i="20"/>
  <c r="L43" i="20" s="1"/>
  <c r="AL33" i="20"/>
  <c r="AP33" i="20" s="1"/>
  <c r="AH43" i="20"/>
  <c r="AO33" i="20"/>
  <c r="AK43" i="20"/>
  <c r="AI33" i="20"/>
  <c r="AE43" i="20"/>
  <c r="AN33" i="20"/>
  <c r="AJ43" i="20"/>
  <c r="V30" i="14"/>
  <c r="C58" i="13"/>
  <c r="F58" i="13" s="1"/>
  <c r="E57" i="13"/>
  <c r="F57" i="13" s="1"/>
  <c r="N40" i="20" l="1"/>
  <c r="AM33" i="20"/>
  <c r="AQ33" i="20" s="1"/>
  <c r="AY33" i="20" s="1"/>
  <c r="AI43" i="20"/>
  <c r="H47" i="2"/>
  <c r="J27" i="20" s="1"/>
  <c r="G47" i="2"/>
  <c r="C13" i="25"/>
  <c r="N27" i="20" l="1"/>
  <c r="N43" i="20" s="1"/>
  <c r="J43" i="20"/>
  <c r="N29" i="14"/>
  <c r="V29" i="14" s="1"/>
  <c r="G9" i="25"/>
  <c r="H9" i="25"/>
  <c r="I9" i="25"/>
  <c r="J9" i="25"/>
  <c r="K9" i="25"/>
  <c r="L9" i="25"/>
  <c r="M9" i="25"/>
  <c r="N9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AF9" i="25"/>
  <c r="AG9" i="25"/>
  <c r="AH9" i="25"/>
  <c r="AI9" i="25"/>
  <c r="AJ9" i="25"/>
  <c r="AK9" i="25"/>
  <c r="AL9" i="25"/>
  <c r="AM9" i="25"/>
  <c r="AN9" i="25"/>
  <c r="AO9" i="25"/>
  <c r="F9" i="25"/>
  <c r="D24" i="20"/>
  <c r="AG51" i="20" l="1"/>
  <c r="AG56" i="20" s="1"/>
  <c r="T70" i="27" s="1"/>
  <c r="AH51" i="20"/>
  <c r="AH56" i="20" s="1"/>
  <c r="U70" i="27" s="1"/>
  <c r="AI51" i="20"/>
  <c r="AJ51" i="20"/>
  <c r="AK51" i="20"/>
  <c r="AL43" i="20"/>
  <c r="AL51" i="20" s="1"/>
  <c r="AM43" i="20"/>
  <c r="AM51" i="20" s="1"/>
  <c r="AN43" i="20"/>
  <c r="AN51" i="20" s="1"/>
  <c r="AO43" i="20"/>
  <c r="AO51" i="20" s="1"/>
  <c r="AP43" i="20"/>
  <c r="AP51" i="20" s="1"/>
  <c r="AQ43" i="20"/>
  <c r="AQ51" i="20" s="1"/>
  <c r="AR43" i="20"/>
  <c r="AR51" i="20" s="1"/>
  <c r="AS43" i="20"/>
  <c r="AS51" i="20" s="1"/>
  <c r="AT43" i="20"/>
  <c r="AT51" i="20" s="1"/>
  <c r="AU43" i="20"/>
  <c r="AU51" i="20" s="1"/>
  <c r="AV43" i="20"/>
  <c r="AV51" i="20" s="1"/>
  <c r="AW43" i="20"/>
  <c r="AW51" i="20" s="1"/>
  <c r="F32" i="20"/>
  <c r="H32" i="20" l="1"/>
  <c r="AY32" i="20"/>
  <c r="AM56" i="20"/>
  <c r="AM64" i="20" s="1"/>
  <c r="AM66" i="20" s="1"/>
  <c r="AN56" i="20"/>
  <c r="AN64" i="20" s="1"/>
  <c r="AN66" i="20" s="1"/>
  <c r="AL56" i="20"/>
  <c r="AL64" i="20" s="1"/>
  <c r="AL66" i="20" s="1"/>
  <c r="AK56" i="20"/>
  <c r="AK64" i="20" s="1"/>
  <c r="AK66" i="20" s="1"/>
  <c r="AF56" i="20"/>
  <c r="S70" i="27" s="1"/>
  <c r="AI56" i="20"/>
  <c r="AI64" i="20" s="1"/>
  <c r="AI66" i="20" s="1"/>
  <c r="AI71" i="20" s="1"/>
  <c r="AW56" i="20"/>
  <c r="AW64" i="20" s="1"/>
  <c r="AW66" i="20" s="1"/>
  <c r="AV56" i="20"/>
  <c r="AV64" i="20" s="1"/>
  <c r="AV66" i="20" s="1"/>
  <c r="AU56" i="20"/>
  <c r="AU64" i="20" s="1"/>
  <c r="AU66" i="20" s="1"/>
  <c r="AO56" i="20"/>
  <c r="AO64" i="20" s="1"/>
  <c r="AO66" i="20" s="1"/>
  <c r="AQ56" i="20"/>
  <c r="AQ64" i="20" s="1"/>
  <c r="AQ66" i="20" s="1"/>
  <c r="AP56" i="20"/>
  <c r="AP64" i="20" s="1"/>
  <c r="AP66" i="20" s="1"/>
  <c r="AJ56" i="20"/>
  <c r="AJ64" i="20" s="1"/>
  <c r="AJ66" i="20" s="1"/>
  <c r="AJ71" i="20" s="1"/>
  <c r="AT56" i="20"/>
  <c r="AT64" i="20" s="1"/>
  <c r="AT66" i="20" s="1"/>
  <c r="AR56" i="20"/>
  <c r="AR64" i="20" s="1"/>
  <c r="AR66" i="20" s="1"/>
  <c r="AS56" i="20"/>
  <c r="AS64" i="20" s="1"/>
  <c r="AS66" i="20" s="1"/>
  <c r="G28" i="14"/>
  <c r="N28" i="14"/>
  <c r="D56" i="13"/>
  <c r="B56" i="13"/>
  <c r="E56" i="13" s="1"/>
  <c r="D55" i="13"/>
  <c r="B55" i="13"/>
  <c r="E55" i="13" s="1"/>
  <c r="D54" i="13"/>
  <c r="B54" i="13"/>
  <c r="D53" i="13"/>
  <c r="B53" i="13"/>
  <c r="C53" i="13" s="1"/>
  <c r="D52" i="13"/>
  <c r="B52" i="13"/>
  <c r="AF64" i="20" l="1"/>
  <c r="AG64" i="20"/>
  <c r="AH64" i="20"/>
  <c r="C55" i="13"/>
  <c r="F55" i="13" s="1"/>
  <c r="V28" i="14"/>
  <c r="C56" i="13"/>
  <c r="F56" i="13" s="1"/>
  <c r="E53" i="13"/>
  <c r="F53" i="13" s="1"/>
  <c r="C52" i="13"/>
  <c r="E52" i="13"/>
  <c r="C54" i="13"/>
  <c r="E54" i="13"/>
  <c r="AH66" i="20" l="1"/>
  <c r="AG66" i="20"/>
  <c r="AF66" i="20"/>
  <c r="X11" i="25" s="1"/>
  <c r="F52" i="13"/>
  <c r="F54" i="13"/>
  <c r="Y11" i="25"/>
  <c r="Z11" i="25"/>
  <c r="AA11" i="25"/>
  <c r="AB11" i="25"/>
  <c r="AC11" i="25"/>
  <c r="AD11" i="25"/>
  <c r="AE11" i="25"/>
  <c r="AF11" i="25"/>
  <c r="AG11" i="25"/>
  <c r="AH11" i="25"/>
  <c r="AI11" i="25"/>
  <c r="J24" i="20" l="1"/>
  <c r="K24" i="20"/>
  <c r="K51" i="20" s="1"/>
  <c r="L24" i="20"/>
  <c r="L51" i="20" s="1"/>
  <c r="R24" i="20"/>
  <c r="R51" i="20" s="1"/>
  <c r="S24" i="20"/>
  <c r="S51" i="20" s="1"/>
  <c r="T24" i="20"/>
  <c r="U24" i="20"/>
  <c r="U51" i="20" s="1"/>
  <c r="V24" i="20"/>
  <c r="W24" i="20"/>
  <c r="X24" i="20"/>
  <c r="X51" i="20" s="1"/>
  <c r="Y24" i="20"/>
  <c r="Z24" i="20"/>
  <c r="AB24" i="20"/>
  <c r="J51" i="20" l="1"/>
  <c r="N24" i="20"/>
  <c r="N51" i="20" s="1"/>
  <c r="N66" i="20" s="1"/>
  <c r="N71" i="20" s="1"/>
  <c r="G24" i="20"/>
  <c r="P24" i="20" s="1"/>
  <c r="X56" i="20" l="1"/>
  <c r="K70" i="27" s="1"/>
  <c r="R56" i="20"/>
  <c r="E70" i="27" s="1"/>
  <c r="S56" i="20"/>
  <c r="F70" i="27" s="1"/>
  <c r="U56" i="20"/>
  <c r="H70" i="27" s="1"/>
  <c r="C16" i="20"/>
  <c r="C14" i="20"/>
  <c r="C13" i="20"/>
  <c r="C53" i="21"/>
  <c r="C15" i="20" s="1"/>
  <c r="C40" i="21"/>
  <c r="C36" i="21"/>
  <c r="U64" i="20" l="1"/>
  <c r="U66" i="20" s="1"/>
  <c r="X64" i="20"/>
  <c r="X66" i="20" s="1"/>
  <c r="P11" i="25" s="1"/>
  <c r="S64" i="20"/>
  <c r="S66" i="20" s="1"/>
  <c r="R64" i="20"/>
  <c r="R66" i="20" s="1"/>
  <c r="J11" i="25" s="1"/>
  <c r="K11" i="25"/>
  <c r="C54" i="21"/>
  <c r="F9" i="23"/>
  <c r="F10" i="23"/>
  <c r="F11" i="23"/>
  <c r="F12" i="23"/>
  <c r="K12" i="23" s="1"/>
  <c r="F13" i="23"/>
  <c r="F14" i="23"/>
  <c r="F15" i="23"/>
  <c r="K15" i="23" s="1"/>
  <c r="F16" i="23"/>
  <c r="K16" i="23" s="1"/>
  <c r="F18" i="23"/>
  <c r="F19" i="23"/>
  <c r="F20" i="23"/>
  <c r="F21" i="23"/>
  <c r="F22" i="23"/>
  <c r="W22" i="23" s="1"/>
  <c r="F23" i="23"/>
  <c r="F24" i="23"/>
  <c r="F25" i="23"/>
  <c r="F26" i="23"/>
  <c r="V26" i="23" s="1"/>
  <c r="V61" i="23" s="1"/>
  <c r="F29" i="23"/>
  <c r="F30" i="23"/>
  <c r="F31" i="23"/>
  <c r="F32" i="23"/>
  <c r="F33" i="23"/>
  <c r="F34" i="23"/>
  <c r="F35" i="23"/>
  <c r="F36" i="23"/>
  <c r="F37" i="23"/>
  <c r="F38" i="23"/>
  <c r="F39" i="23"/>
  <c r="X39" i="23" s="1"/>
  <c r="F44" i="23"/>
  <c r="X44" i="23" s="1"/>
  <c r="F45" i="23"/>
  <c r="X45" i="23" s="1"/>
  <c r="F46" i="23"/>
  <c r="X46" i="23" s="1"/>
  <c r="F47" i="23"/>
  <c r="F48" i="23"/>
  <c r="F51" i="23"/>
  <c r="F52" i="23"/>
  <c r="F53" i="23"/>
  <c r="X53" i="23" s="1"/>
  <c r="F56" i="23"/>
  <c r="F57" i="23"/>
  <c r="D10" i="20"/>
  <c r="F13" i="20"/>
  <c r="C18" i="20"/>
  <c r="C23" i="20" s="1"/>
  <c r="F23" i="20" s="1"/>
  <c r="H23" i="20" s="1"/>
  <c r="F15" i="20"/>
  <c r="F16" i="20"/>
  <c r="D18" i="20"/>
  <c r="F29" i="20"/>
  <c r="F61" i="20"/>
  <c r="AY61" i="20" s="1"/>
  <c r="M11" i="25" l="1"/>
  <c r="H29" i="20"/>
  <c r="AY29" i="20"/>
  <c r="K61" i="23"/>
  <c r="P14" i="23"/>
  <c r="Y14" i="23"/>
  <c r="Y13" i="23"/>
  <c r="Y61" i="23" s="1"/>
  <c r="AE46" i="20" s="1"/>
  <c r="P13" i="23"/>
  <c r="P61" i="23" s="1"/>
  <c r="X29" i="23"/>
  <c r="S29" i="23"/>
  <c r="S32" i="23"/>
  <c r="X32" i="23"/>
  <c r="W9" i="23"/>
  <c r="F61" i="23"/>
  <c r="C46" i="20" s="1"/>
  <c r="Q21" i="23"/>
  <c r="U21" i="23"/>
  <c r="T38" i="23"/>
  <c r="W38" i="23"/>
  <c r="AB46" i="20"/>
  <c r="T25" i="23"/>
  <c r="W25" i="23"/>
  <c r="U24" i="23"/>
  <c r="X24" i="23"/>
  <c r="U18" i="23"/>
  <c r="W18" i="23"/>
  <c r="S56" i="23"/>
  <c r="X56" i="23"/>
  <c r="S30" i="23"/>
  <c r="X30" i="23"/>
  <c r="X51" i="23"/>
  <c r="S51" i="23"/>
  <c r="S48" i="23"/>
  <c r="X48" i="23"/>
  <c r="S47" i="23"/>
  <c r="X47" i="23"/>
  <c r="W19" i="23"/>
  <c r="U19" i="23"/>
  <c r="X52" i="23"/>
  <c r="S52" i="23"/>
  <c r="W20" i="23"/>
  <c r="S20" i="23"/>
  <c r="X31" i="23"/>
  <c r="S31" i="23"/>
  <c r="Q10" i="23"/>
  <c r="N10" i="23"/>
  <c r="N61" i="23" s="1"/>
  <c r="U10" i="23"/>
  <c r="S23" i="23"/>
  <c r="X23" i="23"/>
  <c r="U37" i="23"/>
  <c r="X37" i="23"/>
  <c r="S36" i="23"/>
  <c r="X36" i="23"/>
  <c r="S35" i="23"/>
  <c r="X35" i="23"/>
  <c r="S34" i="23"/>
  <c r="X34" i="23"/>
  <c r="X57" i="23"/>
  <c r="S57" i="23"/>
  <c r="S33" i="23"/>
  <c r="X33" i="23"/>
  <c r="C56" i="21"/>
  <c r="C57" i="21"/>
  <c r="H61" i="20"/>
  <c r="D19" i="20"/>
  <c r="F14" i="20"/>
  <c r="F18" i="20" s="1"/>
  <c r="AB51" i="20" l="1"/>
  <c r="AB56" i="20" s="1"/>
  <c r="O70" i="27" s="1"/>
  <c r="X61" i="23"/>
  <c r="W61" i="23"/>
  <c r="S61" i="23"/>
  <c r="U61" i="23"/>
  <c r="Q61" i="23"/>
  <c r="T61" i="23"/>
  <c r="Z46" i="20" s="1"/>
  <c r="W46" i="20"/>
  <c r="T46" i="20"/>
  <c r="C59" i="21"/>
  <c r="AB64" i="20" l="1"/>
  <c r="Z51" i="20"/>
  <c r="Z56" i="20" s="1"/>
  <c r="M70" i="27" s="1"/>
  <c r="T51" i="20"/>
  <c r="T56" i="20" s="1"/>
  <c r="G70" i="27" s="1"/>
  <c r="W51" i="20"/>
  <c r="W56" i="20" s="1"/>
  <c r="J70" i="27" s="1"/>
  <c r="Y46" i="20"/>
  <c r="V46" i="20"/>
  <c r="AA46" i="20"/>
  <c r="AD46" i="20"/>
  <c r="AC46" i="20"/>
  <c r="C60" i="21"/>
  <c r="C62" i="21" s="1"/>
  <c r="C64" i="21" s="1"/>
  <c r="F21" i="20"/>
  <c r="T64" i="20" l="1"/>
  <c r="T66" i="20" s="1"/>
  <c r="W64" i="20"/>
  <c r="W66" i="20" s="1"/>
  <c r="Z64" i="20"/>
  <c r="AC51" i="20"/>
  <c r="AC56" i="20" s="1"/>
  <c r="P70" i="27" s="1"/>
  <c r="Y51" i="20"/>
  <c r="Y56" i="20" s="1"/>
  <c r="L70" i="27" s="1"/>
  <c r="AD51" i="20"/>
  <c r="AD56" i="20" s="1"/>
  <c r="Q70" i="27" s="1"/>
  <c r="V51" i="20"/>
  <c r="V56" i="20" s="1"/>
  <c r="I70" i="27" s="1"/>
  <c r="AA51" i="20"/>
  <c r="AA56" i="20" s="1"/>
  <c r="N70" i="27" s="1"/>
  <c r="AB66" i="20"/>
  <c r="C8" i="20"/>
  <c r="H21" i="20"/>
  <c r="T11" i="25" l="1"/>
  <c r="O11" i="25"/>
  <c r="L11" i="25"/>
  <c r="AD64" i="20"/>
  <c r="AA64" i="20"/>
  <c r="V64" i="20"/>
  <c r="V66" i="20" s="1"/>
  <c r="Y64" i="20"/>
  <c r="Y66" i="20" s="1"/>
  <c r="AC64" i="20"/>
  <c r="C10" i="20"/>
  <c r="B16" i="20"/>
  <c r="F8" i="20"/>
  <c r="F10" i="20" s="1"/>
  <c r="F19" i="20" s="1"/>
  <c r="N11" i="25" l="1"/>
  <c r="Q11" i="25"/>
  <c r="AC66" i="20"/>
  <c r="AA66" i="20"/>
  <c r="AD66" i="20"/>
  <c r="C22" i="20"/>
  <c r="C19" i="20"/>
  <c r="V11" i="25" l="1"/>
  <c r="S11" i="25"/>
  <c r="U11" i="25"/>
  <c r="J64" i="20"/>
  <c r="J66" i="20" s="1"/>
  <c r="F22" i="20"/>
  <c r="C24" i="20"/>
  <c r="C27" i="14"/>
  <c r="B27" i="14"/>
  <c r="F11" i="25" l="1"/>
  <c r="H22" i="20"/>
  <c r="H24" i="20" s="1"/>
  <c r="H5" i="26" s="1"/>
  <c r="F24" i="20"/>
  <c r="J27" i="14"/>
  <c r="AE24" i="20" l="1"/>
  <c r="AE51" i="20" s="1"/>
  <c r="AE56" i="20" s="1"/>
  <c r="R70" i="27" s="1"/>
  <c r="G26" i="14"/>
  <c r="G27" i="14"/>
  <c r="N26" i="14"/>
  <c r="N27" i="14"/>
  <c r="D51" i="13"/>
  <c r="B51" i="13"/>
  <c r="E51" i="13" s="1"/>
  <c r="D50" i="13"/>
  <c r="B50" i="13"/>
  <c r="E50" i="13" s="1"/>
  <c r="AY24" i="20" l="1"/>
  <c r="AE64" i="20"/>
  <c r="V27" i="14"/>
  <c r="V26" i="14"/>
  <c r="C50" i="13"/>
  <c r="F50" i="13" s="1"/>
  <c r="C51" i="13"/>
  <c r="F51" i="13" s="1"/>
  <c r="AE66" i="20" l="1"/>
  <c r="B49" i="13"/>
  <c r="C49" i="13" s="1"/>
  <c r="D49" i="13"/>
  <c r="B48" i="13"/>
  <c r="C48" i="13" s="1"/>
  <c r="D48" i="13"/>
  <c r="C25" i="14"/>
  <c r="B25" i="14"/>
  <c r="N25" i="14"/>
  <c r="I24" i="14"/>
  <c r="I37" i="14" s="1"/>
  <c r="B46" i="13"/>
  <c r="E46" i="13" s="1"/>
  <c r="D46" i="13"/>
  <c r="B47" i="13"/>
  <c r="E47" i="13" s="1"/>
  <c r="D47" i="13"/>
  <c r="H51" i="5"/>
  <c r="G51" i="5"/>
  <c r="D45" i="13"/>
  <c r="B45" i="13"/>
  <c r="C45" i="13" s="1"/>
  <c r="L24" i="14"/>
  <c r="L37" i="14" s="1"/>
  <c r="J24" i="14"/>
  <c r="J37" i="14" s="1"/>
  <c r="G24" i="14"/>
  <c r="D44" i="13"/>
  <c r="B44" i="13"/>
  <c r="C44" i="13" s="1"/>
  <c r="G12" i="8"/>
  <c r="H12" i="8"/>
  <c r="N23" i="14"/>
  <c r="G23" i="14"/>
  <c r="D43" i="13"/>
  <c r="B43" i="13"/>
  <c r="E43" i="13" s="1"/>
  <c r="D42" i="13"/>
  <c r="B42" i="13"/>
  <c r="C42" i="13" s="1"/>
  <c r="D41" i="13"/>
  <c r="B41" i="13"/>
  <c r="E41" i="13" s="1"/>
  <c r="C19" i="1"/>
  <c r="C33" i="1" s="1"/>
  <c r="F12" i="8"/>
  <c r="S37" i="14"/>
  <c r="R37" i="14"/>
  <c r="Q37" i="14"/>
  <c r="P37" i="14"/>
  <c r="T37" i="14"/>
  <c r="D40" i="13"/>
  <c r="B40" i="13"/>
  <c r="C40" i="13" s="1"/>
  <c r="D39" i="13"/>
  <c r="B39" i="13"/>
  <c r="E39" i="13" s="1"/>
  <c r="D22" i="14"/>
  <c r="D37" i="14" s="1"/>
  <c r="C22" i="14"/>
  <c r="B22" i="14"/>
  <c r="N22" i="14"/>
  <c r="F34" i="20"/>
  <c r="C21" i="14"/>
  <c r="G21" i="14" s="1"/>
  <c r="E20" i="14"/>
  <c r="G20" i="14" s="1"/>
  <c r="C19" i="14"/>
  <c r="E19" i="14"/>
  <c r="E18" i="14"/>
  <c r="G18" i="14" s="1"/>
  <c r="N21" i="14"/>
  <c r="N20" i="14"/>
  <c r="D31" i="13"/>
  <c r="D32" i="13"/>
  <c r="D33" i="13"/>
  <c r="D34" i="13"/>
  <c r="D35" i="13"/>
  <c r="D36" i="13"/>
  <c r="D37" i="13"/>
  <c r="D38" i="13"/>
  <c r="B37" i="13"/>
  <c r="E37" i="13" s="1"/>
  <c r="B38" i="13"/>
  <c r="C38" i="13" s="1"/>
  <c r="B36" i="13"/>
  <c r="C36" i="13" s="1"/>
  <c r="N18" i="14"/>
  <c r="N19" i="14"/>
  <c r="B35" i="13"/>
  <c r="E35" i="13" s="1"/>
  <c r="B34" i="13"/>
  <c r="E34" i="13" s="1"/>
  <c r="B33" i="13"/>
  <c r="C33" i="13" s="1"/>
  <c r="F17" i="15"/>
  <c r="Q62" i="20" s="1"/>
  <c r="E42" i="12"/>
  <c r="B32" i="13"/>
  <c r="E32" i="13" s="1"/>
  <c r="B31" i="13"/>
  <c r="E31" i="13" s="1"/>
  <c r="E52" i="3"/>
  <c r="D17" i="15"/>
  <c r="D7" i="7"/>
  <c r="E5" i="13"/>
  <c r="D5" i="13"/>
  <c r="D6" i="13"/>
  <c r="E6" i="13"/>
  <c r="D7" i="13"/>
  <c r="E7" i="13"/>
  <c r="D8" i="13"/>
  <c r="E8" i="13"/>
  <c r="D9" i="13"/>
  <c r="E9" i="13"/>
  <c r="D10" i="13"/>
  <c r="E10" i="13"/>
  <c r="D11" i="13"/>
  <c r="E11" i="13"/>
  <c r="D12" i="13"/>
  <c r="E12" i="13"/>
  <c r="D13" i="13"/>
  <c r="E13" i="13"/>
  <c r="D14" i="13"/>
  <c r="E14" i="13"/>
  <c r="D15" i="13"/>
  <c r="E15" i="13"/>
  <c r="D16" i="13"/>
  <c r="E16" i="13"/>
  <c r="D17" i="13"/>
  <c r="E17" i="13"/>
  <c r="D18" i="13"/>
  <c r="E18" i="13"/>
  <c r="D19" i="13"/>
  <c r="E19" i="13"/>
  <c r="D20" i="13"/>
  <c r="E20" i="13"/>
  <c r="D21" i="13"/>
  <c r="E21" i="13"/>
  <c r="D22" i="13"/>
  <c r="E22" i="13"/>
  <c r="D23" i="13"/>
  <c r="E23" i="13"/>
  <c r="D24" i="13"/>
  <c r="E24" i="13"/>
  <c r="D25" i="13"/>
  <c r="E25" i="13"/>
  <c r="D26" i="13"/>
  <c r="E26" i="13"/>
  <c r="D27" i="13"/>
  <c r="E27" i="13"/>
  <c r="D28" i="13"/>
  <c r="E28" i="13"/>
  <c r="D29" i="13"/>
  <c r="D30" i="13"/>
  <c r="E30" i="13"/>
  <c r="E29" i="13"/>
  <c r="B17" i="14"/>
  <c r="G17" i="14" s="1"/>
  <c r="C16" i="14"/>
  <c r="E16" i="14"/>
  <c r="C14" i="14"/>
  <c r="C15" i="14"/>
  <c r="B15" i="14"/>
  <c r="E15" i="14"/>
  <c r="B14" i="14"/>
  <c r="E14" i="14"/>
  <c r="E13" i="14"/>
  <c r="B13" i="14"/>
  <c r="E12" i="14"/>
  <c r="B12" i="14"/>
  <c r="C12" i="14"/>
  <c r="E10" i="14"/>
  <c r="B11" i="14"/>
  <c r="G11" i="14" s="1"/>
  <c r="B10" i="14"/>
  <c r="C10" i="14"/>
  <c r="E9" i="14"/>
  <c r="C9" i="14"/>
  <c r="B9" i="14"/>
  <c r="K37" i="14"/>
  <c r="N17" i="14"/>
  <c r="N16" i="14"/>
  <c r="N15" i="14"/>
  <c r="N14" i="14"/>
  <c r="N13" i="14"/>
  <c r="N12" i="14"/>
  <c r="N11" i="14"/>
  <c r="N10" i="14"/>
  <c r="N9" i="14"/>
  <c r="N8" i="14"/>
  <c r="N7" i="14"/>
  <c r="N6" i="14"/>
  <c r="G7" i="14"/>
  <c r="G6" i="14"/>
  <c r="G8" i="14"/>
  <c r="B29" i="13"/>
  <c r="C29" i="13" s="1"/>
  <c r="B6" i="13"/>
  <c r="C6" i="13" s="1"/>
  <c r="B7" i="13"/>
  <c r="C7" i="13" s="1"/>
  <c r="B8" i="13"/>
  <c r="C8" i="13" s="1"/>
  <c r="B9" i="13"/>
  <c r="C9" i="13" s="1"/>
  <c r="B10" i="13"/>
  <c r="C10" i="13" s="1"/>
  <c r="B11" i="13"/>
  <c r="C11" i="13" s="1"/>
  <c r="B12" i="13"/>
  <c r="C12" i="13" s="1"/>
  <c r="B13" i="13"/>
  <c r="C13" i="13" s="1"/>
  <c r="B14" i="13"/>
  <c r="C14" i="13" s="1"/>
  <c r="B15" i="13"/>
  <c r="C15" i="13" s="1"/>
  <c r="B16" i="13"/>
  <c r="C16" i="13" s="1"/>
  <c r="B17" i="13"/>
  <c r="C17" i="13" s="1"/>
  <c r="B18" i="13"/>
  <c r="C18" i="13" s="1"/>
  <c r="B19" i="13"/>
  <c r="C19" i="13" s="1"/>
  <c r="B20" i="13"/>
  <c r="C20" i="13" s="1"/>
  <c r="B21" i="13"/>
  <c r="C21" i="13" s="1"/>
  <c r="B22" i="13"/>
  <c r="B23" i="13"/>
  <c r="B24" i="13"/>
  <c r="C24" i="13" s="1"/>
  <c r="B25" i="13"/>
  <c r="C25" i="13" s="1"/>
  <c r="B26" i="13"/>
  <c r="C26" i="13" s="1"/>
  <c r="B27" i="13"/>
  <c r="C27" i="13" s="1"/>
  <c r="B28" i="13"/>
  <c r="C28" i="13" s="1"/>
  <c r="B30" i="13"/>
  <c r="B5" i="13"/>
  <c r="D30" i="11"/>
  <c r="D9" i="11"/>
  <c r="D14" i="11" s="1"/>
  <c r="D9" i="10"/>
  <c r="D63" i="10"/>
  <c r="E17" i="9"/>
  <c r="M17" i="9" s="1"/>
  <c r="D12" i="8"/>
  <c r="C7" i="7"/>
  <c r="D25" i="6"/>
  <c r="E51" i="5"/>
  <c r="M51" i="5" s="1"/>
  <c r="E20" i="4"/>
  <c r="D28" i="20" s="1"/>
  <c r="E47" i="2"/>
  <c r="N47" i="2" s="1"/>
  <c r="D27" i="20" s="1"/>
  <c r="G62" i="20" l="1"/>
  <c r="P62" i="20" s="1"/>
  <c r="H17" i="15"/>
  <c r="C62" i="20" s="1"/>
  <c r="G35" i="20"/>
  <c r="P35" i="20" s="1"/>
  <c r="L25" i="6"/>
  <c r="C39" i="20"/>
  <c r="L42" i="12"/>
  <c r="G36" i="20"/>
  <c r="P36" i="20" s="1"/>
  <c r="F7" i="7"/>
  <c r="G37" i="20"/>
  <c r="P37" i="20" s="1"/>
  <c r="J12" i="8"/>
  <c r="D32" i="11"/>
  <c r="D36" i="11" s="1"/>
  <c r="G48" i="20" s="1"/>
  <c r="P48" i="20" s="1"/>
  <c r="M52" i="3"/>
  <c r="D46" i="20" s="1"/>
  <c r="G46" i="20"/>
  <c r="P46" i="20" s="1"/>
  <c r="W11" i="25"/>
  <c r="G34" i="20"/>
  <c r="P34" i="20" s="1"/>
  <c r="AY34" i="20" s="1"/>
  <c r="G19" i="20"/>
  <c r="P19" i="20" s="1"/>
  <c r="AY19" i="20" s="1"/>
  <c r="G33" i="1"/>
  <c r="G76" i="20"/>
  <c r="G27" i="20"/>
  <c r="P27" i="20" s="1"/>
  <c r="D43" i="20"/>
  <c r="G38" i="20"/>
  <c r="P38" i="20" s="1"/>
  <c r="C38" i="20"/>
  <c r="G39" i="20"/>
  <c r="P39" i="20" s="1"/>
  <c r="C28" i="20"/>
  <c r="G28" i="20"/>
  <c r="P28" i="20" s="1"/>
  <c r="V23" i="14"/>
  <c r="G16" i="14"/>
  <c r="V16" i="14" s="1"/>
  <c r="V11" i="14"/>
  <c r="C35" i="20"/>
  <c r="F35" i="20" s="1"/>
  <c r="AY35" i="20" s="1"/>
  <c r="G13" i="14"/>
  <c r="V13" i="14" s="1"/>
  <c r="G22" i="14"/>
  <c r="V22" i="14" s="1"/>
  <c r="E36" i="13"/>
  <c r="F36" i="13" s="1"/>
  <c r="D65" i="10"/>
  <c r="L65" i="10" s="1"/>
  <c r="D49" i="20" s="1"/>
  <c r="E45" i="13"/>
  <c r="F45" i="13" s="1"/>
  <c r="C36" i="20"/>
  <c r="F10" i="13"/>
  <c r="C37" i="20"/>
  <c r="G9" i="14"/>
  <c r="V9" i="14" s="1"/>
  <c r="F18" i="13"/>
  <c r="V7" i="14"/>
  <c r="G15" i="14"/>
  <c r="V15" i="14" s="1"/>
  <c r="V8" i="14"/>
  <c r="V6" i="14"/>
  <c r="V20" i="14"/>
  <c r="G14" i="14"/>
  <c r="V14" i="14" s="1"/>
  <c r="G12" i="14"/>
  <c r="V12" i="14" s="1"/>
  <c r="G19" i="14"/>
  <c r="V19" i="14" s="1"/>
  <c r="C41" i="13"/>
  <c r="F41" i="13" s="1"/>
  <c r="C37" i="13"/>
  <c r="F37" i="13" s="1"/>
  <c r="F15" i="13"/>
  <c r="C32" i="13"/>
  <c r="F32" i="13" s="1"/>
  <c r="F13" i="13"/>
  <c r="C43" i="13"/>
  <c r="F43" i="13" s="1"/>
  <c r="F17" i="13"/>
  <c r="F24" i="13"/>
  <c r="F9" i="13"/>
  <c r="F26" i="13"/>
  <c r="F21" i="13"/>
  <c r="V21" i="14"/>
  <c r="N24" i="14"/>
  <c r="V24" i="14" s="1"/>
  <c r="B37" i="14"/>
  <c r="V18" i="14"/>
  <c r="V17" i="14"/>
  <c r="E37" i="14"/>
  <c r="C37" i="14"/>
  <c r="G25" i="14"/>
  <c r="V25" i="14" s="1"/>
  <c r="G10" i="14"/>
  <c r="V10" i="14" s="1"/>
  <c r="C22" i="13"/>
  <c r="F22" i="13" s="1"/>
  <c r="F29" i="13"/>
  <c r="F6" i="13"/>
  <c r="D74" i="13"/>
  <c r="F16" i="13"/>
  <c r="F7" i="13"/>
  <c r="E33" i="13"/>
  <c r="F33" i="13" s="1"/>
  <c r="C47" i="13"/>
  <c r="F47" i="13" s="1"/>
  <c r="B74" i="13"/>
  <c r="E48" i="13"/>
  <c r="F48" i="13" s="1"/>
  <c r="F8" i="13"/>
  <c r="C46" i="13"/>
  <c r="F46" i="13" s="1"/>
  <c r="F19" i="13"/>
  <c r="C39" i="13"/>
  <c r="F39" i="13" s="1"/>
  <c r="F12" i="13"/>
  <c r="E40" i="13"/>
  <c r="F40" i="13" s="1"/>
  <c r="F11" i="13"/>
  <c r="E38" i="13"/>
  <c r="F38" i="13" s="1"/>
  <c r="F27" i="13"/>
  <c r="C5" i="13"/>
  <c r="F5" i="13" s="1"/>
  <c r="E42" i="13"/>
  <c r="F42" i="13" s="1"/>
  <c r="F25" i="13"/>
  <c r="C23" i="13"/>
  <c r="F23" i="13" s="1"/>
  <c r="E49" i="13"/>
  <c r="F49" i="13" s="1"/>
  <c r="F28" i="13"/>
  <c r="F14" i="13"/>
  <c r="C31" i="13"/>
  <c r="F31" i="13" s="1"/>
  <c r="C34" i="13"/>
  <c r="F34" i="13" s="1"/>
  <c r="E44" i="13"/>
  <c r="F44" i="13" s="1"/>
  <c r="C30" i="13"/>
  <c r="F30" i="13" s="1"/>
  <c r="C35" i="13"/>
  <c r="F35" i="13" s="1"/>
  <c r="F20" i="13"/>
  <c r="H34" i="20" l="1"/>
  <c r="D48" i="20"/>
  <c r="G74" i="20"/>
  <c r="H19" i="20"/>
  <c r="H4" i="26" s="1"/>
  <c r="F38" i="20"/>
  <c r="AY38" i="20" s="1"/>
  <c r="G49" i="20"/>
  <c r="P49" i="20" s="1"/>
  <c r="F49" i="20"/>
  <c r="AY49" i="20" s="1"/>
  <c r="F48" i="20"/>
  <c r="F36" i="20"/>
  <c r="F37" i="20"/>
  <c r="F46" i="20"/>
  <c r="AY46" i="20" s="1"/>
  <c r="N37" i="14"/>
  <c r="F39" i="20"/>
  <c r="F59" i="20"/>
  <c r="H35" i="20"/>
  <c r="G64" i="20"/>
  <c r="F28" i="20"/>
  <c r="AY28" i="20" s="1"/>
  <c r="F62" i="20"/>
  <c r="AY62" i="20" s="1"/>
  <c r="F27" i="20"/>
  <c r="AY27" i="20" s="1"/>
  <c r="V37" i="14"/>
  <c r="AD37" i="14" s="1"/>
  <c r="C41" i="20" s="1"/>
  <c r="G37" i="14"/>
  <c r="F74" i="13"/>
  <c r="N74" i="13" s="1"/>
  <c r="C40" i="20" s="1"/>
  <c r="E74" i="13"/>
  <c r="C74" i="13"/>
  <c r="H39" i="20" l="1"/>
  <c r="AY39" i="20"/>
  <c r="H37" i="20"/>
  <c r="AY37" i="20"/>
  <c r="H36" i="20"/>
  <c r="AY36" i="20"/>
  <c r="H48" i="20"/>
  <c r="AY48" i="20"/>
  <c r="P64" i="20"/>
  <c r="H38" i="20"/>
  <c r="G75" i="20"/>
  <c r="G41" i="20"/>
  <c r="P41" i="20" s="1"/>
  <c r="C43" i="20"/>
  <c r="G40" i="20"/>
  <c r="P40" i="20" s="1"/>
  <c r="H46" i="20"/>
  <c r="H7" i="26" s="1"/>
  <c r="D51" i="20"/>
  <c r="H62" i="20"/>
  <c r="H12" i="26" s="1"/>
  <c r="H59" i="20"/>
  <c r="H49" i="20"/>
  <c r="H28" i="20"/>
  <c r="H27" i="20"/>
  <c r="Q59" i="20" l="1"/>
  <c r="AY59" i="20" s="1"/>
  <c r="H8" i="26"/>
  <c r="P43" i="20"/>
  <c r="P51" i="20" s="1"/>
  <c r="Q56" i="20" s="1"/>
  <c r="D70" i="27" s="1"/>
  <c r="D71" i="27" s="1"/>
  <c r="D72" i="27" s="1"/>
  <c r="G73" i="20"/>
  <c r="G78" i="20" s="1"/>
  <c r="G43" i="20"/>
  <c r="G51" i="20" s="1"/>
  <c r="F41" i="20"/>
  <c r="AY41" i="20" s="1"/>
  <c r="D56" i="20"/>
  <c r="D74" i="27" l="1"/>
  <c r="E69" i="27" s="1"/>
  <c r="Q69" i="20"/>
  <c r="P66" i="20"/>
  <c r="W70" i="27"/>
  <c r="G66" i="20"/>
  <c r="G71" i="20" s="1"/>
  <c r="H41" i="20"/>
  <c r="D64" i="20"/>
  <c r="F40" i="20"/>
  <c r="C51" i="20"/>
  <c r="E71" i="27" l="1"/>
  <c r="E72" i="27" s="1"/>
  <c r="R69" i="20" s="1"/>
  <c r="F43" i="20"/>
  <c r="AY40" i="20"/>
  <c r="I11" i="25"/>
  <c r="H15" i="26"/>
  <c r="Z66" i="20"/>
  <c r="C56" i="20"/>
  <c r="C58" i="20"/>
  <c r="H40" i="20"/>
  <c r="H43" i="20" s="1"/>
  <c r="H6" i="26" s="1"/>
  <c r="E74" i="27" l="1"/>
  <c r="F69" i="27" s="1"/>
  <c r="F71" i="27" s="1"/>
  <c r="R11" i="25"/>
  <c r="F51" i="20"/>
  <c r="F58" i="20"/>
  <c r="F56" i="20"/>
  <c r="AY56" i="20" l="1"/>
  <c r="F69" i="20"/>
  <c r="H69" i="20" s="1"/>
  <c r="F72" i="27"/>
  <c r="H58" i="20"/>
  <c r="H51" i="20"/>
  <c r="H56" i="20"/>
  <c r="AY43" i="20"/>
  <c r="F74" i="27" l="1"/>
  <c r="G69" i="27" s="1"/>
  <c r="S69" i="20"/>
  <c r="S71" i="20" s="1"/>
  <c r="G71" i="27"/>
  <c r="G72" i="27" s="1"/>
  <c r="T69" i="20" s="1"/>
  <c r="T71" i="20" s="1"/>
  <c r="B4" i="26"/>
  <c r="H9" i="26"/>
  <c r="Q58" i="20"/>
  <c r="H13" i="26"/>
  <c r="AY51" i="20"/>
  <c r="Q64" i="20" l="1"/>
  <c r="Q66" i="20" s="1"/>
  <c r="Q71" i="20" s="1"/>
  <c r="AY58" i="20"/>
  <c r="F60" i="20"/>
  <c r="G74" i="27" l="1"/>
  <c r="H69" i="27" s="1"/>
  <c r="L64" i="20"/>
  <c r="AY60" i="20"/>
  <c r="L66" i="20"/>
  <c r="H60" i="20"/>
  <c r="H11" i="26" s="1"/>
  <c r="H11" i="25" l="1"/>
  <c r="L71" i="20"/>
  <c r="H71" i="27"/>
  <c r="H72" i="27" s="1"/>
  <c r="U69" i="20" s="1"/>
  <c r="K64" i="20"/>
  <c r="K66" i="20" l="1"/>
  <c r="E11" i="25"/>
  <c r="G11" i="25" l="1"/>
  <c r="K71" i="20"/>
  <c r="H74" i="27"/>
  <c r="I69" i="27" s="1"/>
  <c r="D11" i="25"/>
  <c r="C64" i="20"/>
  <c r="C66" i="20" s="1"/>
  <c r="I71" i="27" l="1"/>
  <c r="I72" i="27" s="1"/>
  <c r="V69" i="20" s="1"/>
  <c r="F64" i="20"/>
  <c r="H64" i="20" l="1"/>
  <c r="AY64" i="20"/>
  <c r="I74" i="27" l="1"/>
  <c r="J69" i="27" s="1"/>
  <c r="AY66" i="20"/>
  <c r="E14" i="25"/>
  <c r="F10" i="25" s="1"/>
  <c r="F12" i="25" s="1"/>
  <c r="J71" i="27" l="1"/>
  <c r="J72" i="27" s="1"/>
  <c r="W69" i="20" s="1"/>
  <c r="W71" i="20" s="1"/>
  <c r="F13" i="25"/>
  <c r="F16" i="25" s="1"/>
  <c r="F17" i="25" s="1"/>
  <c r="J74" i="27" l="1"/>
  <c r="K69" i="27" s="1"/>
  <c r="F14" i="25"/>
  <c r="G10" i="25" s="1"/>
  <c r="G12" i="25" s="1"/>
  <c r="K71" i="27" l="1"/>
  <c r="K72" i="27" s="1"/>
  <c r="X69" i="20" s="1"/>
  <c r="X71" i="20" s="1"/>
  <c r="G13" i="25"/>
  <c r="G16" i="25" s="1"/>
  <c r="G17" i="25" s="1"/>
  <c r="K74" i="27" l="1"/>
  <c r="L69" i="27" s="1"/>
  <c r="G14" i="25"/>
  <c r="H10" i="25" s="1"/>
  <c r="H12" i="25" s="1"/>
  <c r="L71" i="27" l="1"/>
  <c r="L72" i="27" s="1"/>
  <c r="Y69" i="20" s="1"/>
  <c r="H13" i="25"/>
  <c r="H16" i="25" s="1"/>
  <c r="H17" i="25" s="1"/>
  <c r="L74" i="27" l="1"/>
  <c r="M69" i="27" s="1"/>
  <c r="H14" i="25"/>
  <c r="I10" i="25" s="1"/>
  <c r="I12" i="25" s="1"/>
  <c r="M71" i="27" l="1"/>
  <c r="I13" i="25"/>
  <c r="I14" i="25" s="1"/>
  <c r="J10" i="25" s="1"/>
  <c r="J12" i="25" s="1"/>
  <c r="M72" i="27" l="1"/>
  <c r="I16" i="25"/>
  <c r="I17" i="25" s="1"/>
  <c r="J13" i="25"/>
  <c r="J14" i="25" s="1"/>
  <c r="K10" i="25" s="1"/>
  <c r="K12" i="25" s="1"/>
  <c r="M74" i="27" l="1"/>
  <c r="N69" i="27" s="1"/>
  <c r="N71" i="27" s="1"/>
  <c r="N72" i="27" s="1"/>
  <c r="AA69" i="20" s="1"/>
  <c r="AA71" i="20" s="1"/>
  <c r="Z69" i="20"/>
  <c r="J16" i="25"/>
  <c r="J17" i="25" s="1"/>
  <c r="K13" i="25"/>
  <c r="K14" i="25" s="1"/>
  <c r="L10" i="25" s="1"/>
  <c r="L12" i="25" s="1"/>
  <c r="N74" i="27" l="1"/>
  <c r="O69" i="27" s="1"/>
  <c r="O71" i="27" s="1"/>
  <c r="O72" i="27" s="1"/>
  <c r="AB69" i="20" s="1"/>
  <c r="AB71" i="20" s="1"/>
  <c r="K16" i="25"/>
  <c r="K17" i="25" s="1"/>
  <c r="L13" i="25"/>
  <c r="L14" i="25" s="1"/>
  <c r="M10" i="25" s="1"/>
  <c r="M12" i="25" s="1"/>
  <c r="O74" i="27" l="1"/>
  <c r="P69" i="27" s="1"/>
  <c r="L16" i="25"/>
  <c r="L17" i="25" s="1"/>
  <c r="M13" i="25"/>
  <c r="M14" i="25" s="1"/>
  <c r="N10" i="25" s="1"/>
  <c r="N12" i="25" s="1"/>
  <c r="P71" i="27" l="1"/>
  <c r="P72" i="27" s="1"/>
  <c r="AC69" i="20" s="1"/>
  <c r="M16" i="25"/>
  <c r="M17" i="25" s="1"/>
  <c r="N13" i="25"/>
  <c r="N14" i="25" s="1"/>
  <c r="O10" i="25" s="1"/>
  <c r="O12" i="25" s="1"/>
  <c r="P74" i="27" l="1"/>
  <c r="Q69" i="27" s="1"/>
  <c r="N16" i="25"/>
  <c r="N17" i="25" s="1"/>
  <c r="O13" i="25"/>
  <c r="O14" i="25" s="1"/>
  <c r="P10" i="25" s="1"/>
  <c r="P12" i="25" s="1"/>
  <c r="Q71" i="27" l="1"/>
  <c r="Q72" i="27" s="1"/>
  <c r="AD69" i="20" s="1"/>
  <c r="O16" i="25"/>
  <c r="O17" i="25" s="1"/>
  <c r="P13" i="25"/>
  <c r="P14" i="25" s="1"/>
  <c r="Q10" i="25" s="1"/>
  <c r="Q12" i="25" s="1"/>
  <c r="Q74" i="27" l="1"/>
  <c r="R69" i="27" s="1"/>
  <c r="P16" i="25"/>
  <c r="P17" i="25" s="1"/>
  <c r="Q13" i="25"/>
  <c r="Q14" i="25" s="1"/>
  <c r="R10" i="25" s="1"/>
  <c r="R12" i="25" s="1"/>
  <c r="R71" i="27" l="1"/>
  <c r="R72" i="27" s="1"/>
  <c r="AE69" i="20" s="1"/>
  <c r="Q16" i="25"/>
  <c r="Q17" i="25" s="1"/>
  <c r="R13" i="25"/>
  <c r="R14" i="25" s="1"/>
  <c r="S10" i="25" s="1"/>
  <c r="S12" i="25" s="1"/>
  <c r="AE71" i="20" l="1"/>
  <c r="R74" i="27"/>
  <c r="S69" i="27" s="1"/>
  <c r="R16" i="25"/>
  <c r="R17" i="25" s="1"/>
  <c r="S13" i="25"/>
  <c r="S14" i="25" s="1"/>
  <c r="T10" i="25" s="1"/>
  <c r="T12" i="25" s="1"/>
  <c r="S71" i="27" l="1"/>
  <c r="S72" i="27" s="1"/>
  <c r="AF69" i="20" s="1"/>
  <c r="S16" i="25"/>
  <c r="S17" i="25" s="1"/>
  <c r="T13" i="25"/>
  <c r="T14" i="25" s="1"/>
  <c r="U10" i="25" s="1"/>
  <c r="U12" i="25" s="1"/>
  <c r="AF71" i="20" l="1"/>
  <c r="S74" i="27"/>
  <c r="T69" i="27" s="1"/>
  <c r="T16" i="25"/>
  <c r="T17" i="25" s="1"/>
  <c r="U13" i="25"/>
  <c r="U14" i="25" s="1"/>
  <c r="V10" i="25" s="1"/>
  <c r="V12" i="25" s="1"/>
  <c r="T71" i="27" l="1"/>
  <c r="T72" i="27" s="1"/>
  <c r="AG69" i="20" s="1"/>
  <c r="U16" i="25"/>
  <c r="U17" i="25" s="1"/>
  <c r="V13" i="25"/>
  <c r="V14" i="25" s="1"/>
  <c r="W10" i="25" s="1"/>
  <c r="W12" i="25" s="1"/>
  <c r="T74" i="27" l="1"/>
  <c r="U69" i="27" s="1"/>
  <c r="V16" i="25"/>
  <c r="V17" i="25" s="1"/>
  <c r="W13" i="25"/>
  <c r="W14" i="25" s="1"/>
  <c r="X10" i="25" s="1"/>
  <c r="X12" i="25" s="1"/>
  <c r="U71" i="27" l="1"/>
  <c r="W16" i="25"/>
  <c r="W17" i="25" s="1"/>
  <c r="X13" i="25"/>
  <c r="X14" i="25" s="1"/>
  <c r="Y10" i="25" s="1"/>
  <c r="Y12" i="25" s="1"/>
  <c r="U72" i="27" l="1"/>
  <c r="U74" i="27" s="1"/>
  <c r="X16" i="25"/>
  <c r="X17" i="25" s="1"/>
  <c r="Y13" i="25"/>
  <c r="Y14" i="25" s="1"/>
  <c r="Z10" i="25" s="1"/>
  <c r="Z12" i="25" s="1"/>
  <c r="W72" i="27" l="1"/>
  <c r="W74" i="27" s="1"/>
  <c r="AH69" i="20"/>
  <c r="AY69" i="20" s="1"/>
  <c r="D53" i="20"/>
  <c r="F53" i="20" s="1"/>
  <c r="Y16" i="25"/>
  <c r="Y17" i="25" s="1"/>
  <c r="Z13" i="25"/>
  <c r="Z14" i="25" s="1"/>
  <c r="AA10" i="25" s="1"/>
  <c r="AA12" i="25" s="1"/>
  <c r="D66" i="20" l="1"/>
  <c r="D71" i="20" s="1"/>
  <c r="AY53" i="20"/>
  <c r="H53" i="20"/>
  <c r="F66" i="20"/>
  <c r="Z16" i="25"/>
  <c r="Z17" i="25" s="1"/>
  <c r="AA13" i="25"/>
  <c r="AA14" i="25" s="1"/>
  <c r="AB10" i="25" s="1"/>
  <c r="AB12" i="25" s="1"/>
  <c r="F68" i="20" l="1"/>
  <c r="B3" i="26" s="1"/>
  <c r="C35" i="26" s="1"/>
  <c r="H14" i="26"/>
  <c r="H66" i="20"/>
  <c r="AA16" i="25"/>
  <c r="AA17" i="25" s="1"/>
  <c r="AB13" i="25"/>
  <c r="AB14" i="25" s="1"/>
  <c r="AC10" i="25" s="1"/>
  <c r="AC12" i="25" s="1"/>
  <c r="F71" i="20" l="1"/>
  <c r="B5" i="26" s="1"/>
  <c r="AB16" i="25"/>
  <c r="AB17" i="25" s="1"/>
  <c r="AC13" i="25"/>
  <c r="AC14" i="25" s="1"/>
  <c r="AD10" i="25" s="1"/>
  <c r="AD12" i="25" s="1"/>
  <c r="AC16" i="25" l="1"/>
  <c r="AC17" i="25" s="1"/>
  <c r="AD13" i="25"/>
  <c r="AD14" i="25" s="1"/>
  <c r="AE10" i="25" s="1"/>
  <c r="AE12" i="25" s="1"/>
  <c r="AD16" i="25" l="1"/>
  <c r="AD17" i="25" s="1"/>
  <c r="AE13" i="25"/>
  <c r="AE14" i="25" s="1"/>
  <c r="AF10" i="25" s="1"/>
  <c r="AF12" i="25" s="1"/>
  <c r="AM71" i="20"/>
  <c r="AE16" i="25" l="1"/>
  <c r="AE17" i="25" s="1"/>
  <c r="AN71" i="20"/>
  <c r="AF13" i="25"/>
  <c r="AF14" i="25" s="1"/>
  <c r="AG10" i="25" s="1"/>
  <c r="AG12" i="25" s="1"/>
  <c r="AF16" i="25" l="1"/>
  <c r="AF17" i="25" s="1"/>
  <c r="AG13" i="25"/>
  <c r="AG14" i="25" s="1"/>
  <c r="AH10" i="25" s="1"/>
  <c r="AH12" i="25" s="1"/>
  <c r="AG16" i="25" l="1"/>
  <c r="AG17" i="25" s="1"/>
  <c r="AH13" i="25"/>
  <c r="AH14" i="25" s="1"/>
  <c r="AI10" i="25" s="1"/>
  <c r="AI12" i="25" s="1"/>
  <c r="AH16" i="25" l="1"/>
  <c r="AH17" i="25" s="1"/>
  <c r="AI13" i="25"/>
  <c r="AI14" i="25" s="1"/>
  <c r="AQ71" i="20"/>
  <c r="AI16" i="25" l="1"/>
  <c r="AI17" i="25" s="1"/>
  <c r="AR68" i="20"/>
  <c r="AR71" i="20" s="1"/>
  <c r="AS68" i="20" l="1"/>
  <c r="AS71" i="20" s="1"/>
  <c r="AT68" i="20" l="1"/>
  <c r="AT71" i="20" s="1"/>
  <c r="AU68" i="20" l="1"/>
  <c r="AU71" i="20" s="1"/>
  <c r="AV68" i="20" l="1"/>
  <c r="AV71" i="20" s="1"/>
  <c r="D13" i="25" l="1"/>
  <c r="AW68" i="20" l="1"/>
  <c r="AW71" i="20" s="1"/>
  <c r="D12" i="25"/>
  <c r="C71" i="20" l="1"/>
  <c r="H68" i="20" l="1"/>
  <c r="P68" i="20" l="1"/>
  <c r="P71" i="20" s="1"/>
  <c r="H71" i="20"/>
  <c r="U71" i="20"/>
  <c r="C36" i="26"/>
  <c r="B18" i="26" s="1"/>
  <c r="H18" i="26" s="1"/>
  <c r="J68" i="20"/>
  <c r="R71" i="20" l="1"/>
  <c r="J71" i="20"/>
  <c r="H16" i="26"/>
  <c r="H20" i="26" s="1"/>
  <c r="Y71" i="20"/>
  <c r="V71" i="20"/>
  <c r="AI19" i="25"/>
  <c r="AI21" i="25" s="1"/>
  <c r="AC71" i="20" l="1"/>
  <c r="Z71" i="20"/>
  <c r="B16" i="26"/>
  <c r="B20" i="26" s="1"/>
  <c r="AG71" i="20" l="1"/>
  <c r="AD71" i="20"/>
  <c r="AK71" i="20" l="1"/>
  <c r="AH71" i="20"/>
  <c r="AO68" i="20" l="1"/>
  <c r="AO71" i="20" s="1"/>
  <c r="AL68" i="20"/>
  <c r="AP68" i="20" l="1"/>
  <c r="AL71" i="20"/>
  <c r="AP71" i="20" l="1"/>
  <c r="AY68" i="20"/>
  <c r="AY71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Daily</author>
  </authors>
  <commentList>
    <comment ref="C60" authorId="0" shapeId="0" xr:uid="{A0EB4876-FA92-444B-A2B8-845D6BDC5C2F}">
      <text>
        <r>
          <rPr>
            <b/>
            <sz val="9"/>
            <color indexed="81"/>
            <rFont val="Tahoma"/>
            <family val="2"/>
          </rPr>
          <t>Mike Daily:</t>
        </r>
        <r>
          <rPr>
            <sz val="9"/>
            <color indexed="81"/>
            <rFont val="Tahoma"/>
            <family val="2"/>
          </rPr>
          <t xml:space="preserve">
hard code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Daily</author>
  </authors>
  <commentList>
    <comment ref="E40" authorId="0" shapeId="0" xr:uid="{B1FF41FB-65B2-4636-A790-19FCE9B68924}">
      <text>
        <r>
          <rPr>
            <b/>
            <sz val="9"/>
            <color indexed="81"/>
            <rFont val="Tahoma"/>
            <family val="2"/>
          </rPr>
          <t>Mike Daily:</t>
        </r>
        <r>
          <rPr>
            <sz val="9"/>
            <color indexed="81"/>
            <rFont val="Tahoma"/>
            <family val="2"/>
          </rPr>
          <t xml:space="preserve">
Add Julie
Peter's last paycheck</t>
        </r>
      </text>
    </comment>
    <comment ref="F40" authorId="0" shapeId="0" xr:uid="{091D2B61-80AB-4E7A-BC64-DDF28ECD59F3}">
      <text>
        <r>
          <rPr>
            <b/>
            <sz val="9"/>
            <color indexed="81"/>
            <rFont val="Tahoma"/>
            <family val="2"/>
          </rPr>
          <t>Mike Daily:</t>
        </r>
        <r>
          <rPr>
            <sz val="9"/>
            <color indexed="81"/>
            <rFont val="Tahoma"/>
            <family val="2"/>
          </rPr>
          <t xml:space="preserve">
Add controller</t>
        </r>
      </text>
    </comment>
    <comment ref="O40" authorId="0" shapeId="0" xr:uid="{425ED2AA-B444-4146-877F-AEAE26F9F112}">
      <text>
        <r>
          <rPr>
            <b/>
            <sz val="9"/>
            <color indexed="81"/>
            <rFont val="Tahoma"/>
            <family val="2"/>
          </rPr>
          <t>Mike Daily:</t>
        </r>
        <r>
          <rPr>
            <sz val="9"/>
            <color indexed="81"/>
            <rFont val="Tahoma"/>
            <family val="2"/>
          </rPr>
          <t xml:space="preserve">
excludes Executives</t>
        </r>
      </text>
    </comment>
    <comment ref="E45" authorId="0" shapeId="0" xr:uid="{A4972ABB-B478-4680-AED4-EFCB330734F3}">
      <text>
        <r>
          <rPr>
            <b/>
            <sz val="9"/>
            <color indexed="81"/>
            <rFont val="Tahoma"/>
            <family val="2"/>
          </rPr>
          <t>Mike Daily:</t>
        </r>
        <r>
          <rPr>
            <sz val="9"/>
            <color indexed="81"/>
            <rFont val="Tahoma"/>
            <family val="2"/>
          </rPr>
          <t xml:space="preserve">
Last Peter R check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Daily</author>
  </authors>
  <commentList>
    <comment ref="E11" authorId="0" shapeId="0" xr:uid="{1CBCA2D2-49EC-4854-BC42-8812EC7959C2}">
      <text>
        <r>
          <rPr>
            <b/>
            <sz val="9"/>
            <color indexed="81"/>
            <rFont val="Tahoma"/>
            <family val="2"/>
          </rPr>
          <t>Mike Daily:</t>
        </r>
        <r>
          <rPr>
            <sz val="9"/>
            <color indexed="81"/>
            <rFont val="Tahoma"/>
            <family val="2"/>
          </rPr>
          <t xml:space="preserve">
hard code owner's equity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<sst xmlns="http://schemas.openxmlformats.org/spreadsheetml/2006/main" count="1015" uniqueCount="566">
  <si>
    <t>Total</t>
  </si>
  <si>
    <t>CIL</t>
  </si>
  <si>
    <t>Beach Point</t>
  </si>
  <si>
    <t>Construction:</t>
  </si>
  <si>
    <t xml:space="preserve">  Application #1</t>
  </si>
  <si>
    <t xml:space="preserve">  Application #3</t>
  </si>
  <si>
    <t xml:space="preserve">  Application #4</t>
  </si>
  <si>
    <t xml:space="preserve">  Application #5</t>
  </si>
  <si>
    <t xml:space="preserve">  Application #6</t>
  </si>
  <si>
    <t xml:space="preserve">  Application #7</t>
  </si>
  <si>
    <t>805 Improvements</t>
  </si>
  <si>
    <t>R.B. Pharr</t>
  </si>
  <si>
    <t>Hanover Design Services, P.A.</t>
  </si>
  <si>
    <t>ThermalTran Mechanical, Inc.</t>
  </si>
  <si>
    <t>WithersRavenel</t>
  </si>
  <si>
    <t>Hipp Architechture &amp; Development, PC</t>
  </si>
  <si>
    <t>Tinney Painting, Inc.</t>
  </si>
  <si>
    <t>Carolina Handling LLC</t>
  </si>
  <si>
    <t>Optimum Fire &amp; Security</t>
  </si>
  <si>
    <t>Passport Door &amp; Dock Systems</t>
  </si>
  <si>
    <t>Scott Electric Co. of Wilmington, NC</t>
  </si>
  <si>
    <t>Gleiter and Sons Epoxy Inc.</t>
  </si>
  <si>
    <t>Wilmington Awning Shutter &amp; Shade</t>
  </si>
  <si>
    <t>Colonial Oil Industries, Inc.</t>
  </si>
  <si>
    <t>W.M. Jordan Company, Inc.</t>
  </si>
  <si>
    <t>Factory Cleaning Equipment, Inc.</t>
  </si>
  <si>
    <t>Vendor</t>
  </si>
  <si>
    <t>Amount</t>
  </si>
  <si>
    <t>OSIsoft, LLC</t>
  </si>
  <si>
    <t>Rovisys Building Technologies, LLC</t>
  </si>
  <si>
    <t>805 Survey &amp; site plans</t>
  </si>
  <si>
    <t>ECS Southeast, LLP</t>
  </si>
  <si>
    <t>Phase 1</t>
  </si>
  <si>
    <t>Hipp Architecture &amp; Development, PC</t>
  </si>
  <si>
    <t>McKim &amp; Creed Inc.</t>
  </si>
  <si>
    <t>Topo Survey</t>
  </si>
  <si>
    <t>Purpose</t>
  </si>
  <si>
    <t>Land Management Group</t>
  </si>
  <si>
    <t>Wetlands</t>
  </si>
  <si>
    <t>Davey Resource Group</t>
  </si>
  <si>
    <t>Isaacson Sheridan</t>
  </si>
  <si>
    <t>Nicol Malas</t>
  </si>
  <si>
    <t>ILM Bond Research Fees</t>
  </si>
  <si>
    <t>ILM Insurance</t>
  </si>
  <si>
    <t>Builders Risk</t>
  </si>
  <si>
    <t>Hub International</t>
  </si>
  <si>
    <t>General Liability</t>
  </si>
  <si>
    <t>Excess</t>
  </si>
  <si>
    <t>Flood</t>
  </si>
  <si>
    <t>D&amp;O</t>
  </si>
  <si>
    <t>Selective</t>
  </si>
  <si>
    <t>ILM Airport Fees</t>
  </si>
  <si>
    <t>Wilmington Int'l Airport</t>
  </si>
  <si>
    <t>Exclusivity</t>
  </si>
  <si>
    <t>Airline incentive</t>
  </si>
  <si>
    <t>Due Diligence</t>
  </si>
  <si>
    <t>Date</t>
  </si>
  <si>
    <t>Description</t>
  </si>
  <si>
    <t>Operations</t>
  </si>
  <si>
    <t>FDA approval</t>
  </si>
  <si>
    <t>Lease application</t>
  </si>
  <si>
    <t>A</t>
  </si>
  <si>
    <t>B</t>
  </si>
  <si>
    <t>805 Purchase</t>
  </si>
  <si>
    <t>Escrow deposit</t>
  </si>
  <si>
    <t>Balance, purchase price</t>
  </si>
  <si>
    <t>Investors Title</t>
  </si>
  <si>
    <t>ALTA &amp; Topo Survey</t>
  </si>
  <si>
    <t>"Appraiser"</t>
  </si>
  <si>
    <t>Appraisal for bank</t>
  </si>
  <si>
    <t>Brady Trane Service</t>
  </si>
  <si>
    <t>HVAC Inpection</t>
  </si>
  <si>
    <t>Newkirk Environmental</t>
  </si>
  <si>
    <t>Wetlands review</t>
  </si>
  <si>
    <t>HVAC Inpection, additional</t>
  </si>
  <si>
    <t>J.S. Mintz Plumbing</t>
  </si>
  <si>
    <t>Plumbing inspection</t>
  </si>
  <si>
    <t>ThermalTran Mechanical</t>
  </si>
  <si>
    <t>Refrigeration inspection</t>
  </si>
  <si>
    <t>Hanover Design</t>
  </si>
  <si>
    <t>Space layout</t>
  </si>
  <si>
    <t>Watson Electrrical</t>
  </si>
  <si>
    <t>Electrical inspection</t>
  </si>
  <si>
    <t>ESA Phase I</t>
  </si>
  <si>
    <t>Additional layout</t>
  </si>
  <si>
    <t>Demising wall plans</t>
  </si>
  <si>
    <t>Maglocks for offices</t>
  </si>
  <si>
    <t>Security system hardware</t>
  </si>
  <si>
    <t>Epoxy warehouse floor</t>
  </si>
  <si>
    <t>Epoxy warehouse/cooler floor</t>
  </si>
  <si>
    <t>Overhead door (2-8 cooler)</t>
  </si>
  <si>
    <t>Michael Daily (Overhead Door Co)</t>
  </si>
  <si>
    <t>CIL, Inc. (Overhead Door Co)</t>
  </si>
  <si>
    <t>Retrofit refrigeration</t>
  </si>
  <si>
    <t>Michael Daily (Wilmington Awning)</t>
  </si>
  <si>
    <t>Awning for entrance</t>
  </si>
  <si>
    <t>PI server</t>
  </si>
  <si>
    <t>PI server upgrade</t>
  </si>
  <si>
    <t>Upgrade electrical</t>
  </si>
  <si>
    <t>BMS/EMS controls</t>
  </si>
  <si>
    <t>BMS/EMS controls validation</t>
  </si>
  <si>
    <t>Cable for warehouse Wi-Fi</t>
  </si>
  <si>
    <t>Fiber for warehouse</t>
  </si>
  <si>
    <t>Bahnson Environmental</t>
  </si>
  <si>
    <t>Validation - reach-in freezer</t>
  </si>
  <si>
    <t>Validation - walk-in cooler</t>
  </si>
  <si>
    <t>Barcode readers</t>
  </si>
  <si>
    <t>Floor scrubber deposit</t>
  </si>
  <si>
    <t>Floor scrubber</t>
  </si>
  <si>
    <t>Pallet jacks</t>
  </si>
  <si>
    <t>Cable for generator</t>
  </si>
  <si>
    <t>Racks</t>
  </si>
  <si>
    <t>Diesel tank for generator</t>
  </si>
  <si>
    <t>Forklift, electric</t>
  </si>
  <si>
    <t>Battery backups</t>
  </si>
  <si>
    <t>Cameras and sensors</t>
  </si>
  <si>
    <t>HVAC condenser #1 - long cooler</t>
  </si>
  <si>
    <t>Condenser #2 - long cooler</t>
  </si>
  <si>
    <t>Thermal printer</t>
  </si>
  <si>
    <t>Dock seals and bumpers</t>
  </si>
  <si>
    <t>Demising wall</t>
  </si>
  <si>
    <t>HVAC  replacement</t>
  </si>
  <si>
    <t>WiFi for warehouse</t>
  </si>
  <si>
    <t>Epoxy cooler room floor</t>
  </si>
  <si>
    <t>QSSI</t>
  </si>
  <si>
    <t>AbeTech</t>
  </si>
  <si>
    <t>Painting</t>
  </si>
  <si>
    <t>Exterior painting</t>
  </si>
  <si>
    <t>STAR Loan</t>
  </si>
  <si>
    <t>Donna Girardot</t>
  </si>
  <si>
    <t>Consulting</t>
  </si>
  <si>
    <t>Condenser - Ambient</t>
  </si>
  <si>
    <t>Stage Your House</t>
  </si>
  <si>
    <t>Finishes design</t>
  </si>
  <si>
    <t>Nova Engineering</t>
  </si>
  <si>
    <t>Inspections</t>
  </si>
  <si>
    <t>Paid to Date</t>
  </si>
  <si>
    <t xml:space="preserve">  Total actual</t>
  </si>
  <si>
    <t>Wages</t>
  </si>
  <si>
    <t>Health</t>
  </si>
  <si>
    <t>401(k)</t>
  </si>
  <si>
    <t>Wages &amp; Benefits</t>
  </si>
  <si>
    <t>Actual</t>
  </si>
  <si>
    <t>Air</t>
  </si>
  <si>
    <t>Lodging</t>
  </si>
  <si>
    <t>Ground</t>
  </si>
  <si>
    <t>Meals</t>
  </si>
  <si>
    <t>Travel</t>
  </si>
  <si>
    <t>ILM  Legal Fees</t>
  </si>
  <si>
    <t>Site Development</t>
  </si>
  <si>
    <t>Site Plan - Alternate layout</t>
  </si>
  <si>
    <t>Site Plan</t>
  </si>
  <si>
    <t>Site Visit</t>
  </si>
  <si>
    <t>ILM Property Work</t>
  </si>
  <si>
    <t>Site Layout</t>
  </si>
  <si>
    <t>Field locations</t>
  </si>
  <si>
    <t>ALTA Survey</t>
  </si>
  <si>
    <t>Survey &amp; Site Plan</t>
  </si>
  <si>
    <t>Boundary Survey</t>
  </si>
  <si>
    <t>Clifford Chance</t>
  </si>
  <si>
    <t>Closing Costs</t>
  </si>
  <si>
    <t>Taft, Stettinius</t>
  </si>
  <si>
    <t xml:space="preserve">  Deck prep fees</t>
  </si>
  <si>
    <t>Paid</t>
  </si>
  <si>
    <t>Security</t>
  </si>
  <si>
    <t xml:space="preserve">  Other costs</t>
  </si>
  <si>
    <t>Frontier Licensing and Expenses</t>
  </si>
  <si>
    <t>Promotional materials</t>
  </si>
  <si>
    <t>Glenn Chrysler Dodge Jeep</t>
  </si>
  <si>
    <t>Honda Odyssey</t>
  </si>
  <si>
    <t>Payroll Taxes</t>
  </si>
  <si>
    <t xml:space="preserve">  Application #8</t>
  </si>
  <si>
    <t xml:space="preserve">  Application #9</t>
  </si>
  <si>
    <t>NC lien agent</t>
  </si>
  <si>
    <t>LiensNC</t>
  </si>
  <si>
    <t>Survey</t>
  </si>
  <si>
    <t>Closing</t>
  </si>
  <si>
    <t>10a</t>
  </si>
  <si>
    <t>10b</t>
  </si>
  <si>
    <t>The Braddock Group</t>
  </si>
  <si>
    <t>Deck Presentation</t>
  </si>
  <si>
    <t>Compressor replacement</t>
  </si>
  <si>
    <t>Wire &amp; Cable (Mike Daily)</t>
  </si>
  <si>
    <t>Steve Woodard dba Port City IT</t>
  </si>
  <si>
    <t>Double Radius (Mike Daily)</t>
  </si>
  <si>
    <t>Cranfill Sumner</t>
  </si>
  <si>
    <t>Adrienne Pellegrino</t>
  </si>
  <si>
    <t>Zurich (McGriff)</t>
  </si>
  <si>
    <t xml:space="preserve">  Application #11</t>
  </si>
  <si>
    <t>NOT USED</t>
  </si>
  <si>
    <t>Set survey corners</t>
  </si>
  <si>
    <t>Note:  50% of Mike Daily wages and benefits</t>
  </si>
  <si>
    <t>Permitting</t>
  </si>
  <si>
    <t xml:space="preserve">  Alta fees</t>
  </si>
  <si>
    <t>PeakLogix</t>
  </si>
  <si>
    <t>Hockett (1)</t>
  </si>
  <si>
    <t xml:space="preserve">(1) Hockett travel expense documentation would be </t>
  </si>
  <si>
    <t xml:space="preserve">     copies of credit card statements.</t>
  </si>
  <si>
    <t>Daily (2)</t>
  </si>
  <si>
    <t>Bandish Group</t>
  </si>
  <si>
    <t>Controls</t>
  </si>
  <si>
    <t>Wrapping machine</t>
  </si>
  <si>
    <t>Contingency</t>
  </si>
  <si>
    <t>Racking</t>
  </si>
  <si>
    <t>Painting floor</t>
  </si>
  <si>
    <t>Cleaning</t>
  </si>
  <si>
    <t>Yard cleanup</t>
  </si>
  <si>
    <t>Carson</t>
  </si>
  <si>
    <t>Forklifts</t>
  </si>
  <si>
    <t>Zoning update</t>
  </si>
  <si>
    <t>PZR</t>
  </si>
  <si>
    <t>Matte Black Marketing</t>
  </si>
  <si>
    <t>Phase 1 update (805)</t>
  </si>
  <si>
    <t>Phase 1 update (ILM)</t>
  </si>
  <si>
    <t xml:space="preserve">  Application #10A (partial)</t>
  </si>
  <si>
    <t xml:space="preserve">  Application #10A (balance)</t>
  </si>
  <si>
    <t>Sheppard Mullin</t>
  </si>
  <si>
    <t>STAR Payoff</t>
  </si>
  <si>
    <t>Balance</t>
  </si>
  <si>
    <t>Prepayment Fee</t>
  </si>
  <si>
    <t>Payoff</t>
  </si>
  <si>
    <t>Vornea</t>
  </si>
  <si>
    <t>Total costs</t>
  </si>
  <si>
    <t>Less: STAR o/s</t>
  </si>
  <si>
    <t>Net costs</t>
  </si>
  <si>
    <t xml:space="preserve">  Application #15 (June)</t>
  </si>
  <si>
    <t>Shark Power Washing</t>
  </si>
  <si>
    <t>Title &amp; other 3rd parties</t>
  </si>
  <si>
    <t xml:space="preserve">(3) Vornea travel expenses are estimated. Details </t>
  </si>
  <si>
    <t xml:space="preserve">    to follow.</t>
  </si>
  <si>
    <t xml:space="preserve">  Permits</t>
  </si>
  <si>
    <t>Evans GC contract</t>
  </si>
  <si>
    <t>BONUS</t>
  </si>
  <si>
    <t>Need to fund Sept est at closing to satisfy Tax and Insurance Reserve requirements.</t>
  </si>
  <si>
    <t>Interest, 1 mo</t>
  </si>
  <si>
    <t>Dock door repairs</t>
  </si>
  <si>
    <t xml:space="preserve">  Application #16 (July)</t>
  </si>
  <si>
    <t xml:space="preserve">  Application #14 (May)</t>
  </si>
  <si>
    <t xml:space="preserve">  Application #13 (April)</t>
  </si>
  <si>
    <t xml:space="preserve">  Application #12 (March)</t>
  </si>
  <si>
    <t>FDA Approval</t>
  </si>
  <si>
    <t>Overhead Door</t>
  </si>
  <si>
    <t>BigWen's Lawncare</t>
  </si>
  <si>
    <t>Validation - Ambient (dock)</t>
  </si>
  <si>
    <t xml:space="preserve">  Retainage - partial (TBD)</t>
  </si>
  <si>
    <t xml:space="preserve">  Application #16 (July) #2</t>
  </si>
  <si>
    <t xml:space="preserve">  Application #16 (July) #3</t>
  </si>
  <si>
    <t>Environmental Specialties</t>
  </si>
  <si>
    <t>Month</t>
  </si>
  <si>
    <t xml:space="preserve">    can be provided.</t>
  </si>
  <si>
    <t>(2) Daily travel expenses are copies of expense reports. Receipts</t>
  </si>
  <si>
    <t>Sprinkler system evaluaton</t>
  </si>
  <si>
    <t>Electrical thermal imaging</t>
  </si>
  <si>
    <t xml:space="preserve">  Closing Costs</t>
  </si>
  <si>
    <t xml:space="preserve">  Interest Rate Cap</t>
  </si>
  <si>
    <t xml:space="preserve">  Commitment Fee</t>
  </si>
  <si>
    <t xml:space="preserve">  STAR Bank payoff</t>
  </si>
  <si>
    <t>Finance Costs/Dev Fee</t>
  </si>
  <si>
    <t>Adira funding (Frontier)</t>
  </si>
  <si>
    <t>Real estate purchase</t>
  </si>
  <si>
    <t>FFE</t>
  </si>
  <si>
    <t>Owner Contingency</t>
  </si>
  <si>
    <t xml:space="preserve">  Travel</t>
  </si>
  <si>
    <t xml:space="preserve">  Wages &amp; benefits</t>
  </si>
  <si>
    <t xml:space="preserve">  Consulting fees</t>
  </si>
  <si>
    <t xml:space="preserve">  Airport fees</t>
  </si>
  <si>
    <t xml:space="preserve">  Insurance</t>
  </si>
  <si>
    <t xml:space="preserve">  Bond research fees</t>
  </si>
  <si>
    <t xml:space="preserve">  Legal fees</t>
  </si>
  <si>
    <t xml:space="preserve">  Owners rep</t>
  </si>
  <si>
    <t xml:space="preserve">  Property work</t>
  </si>
  <si>
    <t xml:space="preserve">  Improvements</t>
  </si>
  <si>
    <t>Project costs paid outside GC contract</t>
  </si>
  <si>
    <t xml:space="preserve">  GC Project Costs</t>
  </si>
  <si>
    <t>Total Hard Costs</t>
  </si>
  <si>
    <t xml:space="preserve">   Hard Cost Contingency</t>
  </si>
  <si>
    <t xml:space="preserve">   Allowances</t>
  </si>
  <si>
    <t xml:space="preserve">   Construction</t>
  </si>
  <si>
    <t xml:space="preserve">   Sitework</t>
  </si>
  <si>
    <t>Hard Costs</t>
  </si>
  <si>
    <t>Total Soft Costs</t>
  </si>
  <si>
    <t xml:space="preserve">   Soft Cost Contingency</t>
  </si>
  <si>
    <t xml:space="preserve">   Overall General Costs</t>
  </si>
  <si>
    <t>Soft Costs</t>
  </si>
  <si>
    <t>Remaining Funding</t>
  </si>
  <si>
    <t>Total Project</t>
  </si>
  <si>
    <t>805 N. 23rd</t>
  </si>
  <si>
    <t>Phase I</t>
  </si>
  <si>
    <t>Development Costs</t>
  </si>
  <si>
    <t>CIL ILM</t>
  </si>
  <si>
    <t>General Conditions</t>
  </si>
  <si>
    <t>Allowances</t>
  </si>
  <si>
    <t>Chairs</t>
  </si>
  <si>
    <t>Tables</t>
  </si>
  <si>
    <t>OUTDOOR PATIOS</t>
  </si>
  <si>
    <t>Televisions</t>
  </si>
  <si>
    <t>TRAINING ROOM</t>
  </si>
  <si>
    <t>Microwave</t>
  </si>
  <si>
    <t>Dishwasher</t>
  </si>
  <si>
    <t>Refrigerators</t>
  </si>
  <si>
    <t>KITCHEN/BREAK ROOMS</t>
  </si>
  <si>
    <t>Plants</t>
  </si>
  <si>
    <t>Artwork</t>
  </si>
  <si>
    <t>Telephone system</t>
  </si>
  <si>
    <t>Computers &amp; periphials</t>
  </si>
  <si>
    <t>Cubicles</t>
  </si>
  <si>
    <t>Furniture - lobby</t>
  </si>
  <si>
    <t>Furniture - open areas</t>
  </si>
  <si>
    <t>Furniture - conference room</t>
  </si>
  <si>
    <t>Furniture - board room</t>
  </si>
  <si>
    <t>Furniture - guest offices</t>
  </si>
  <si>
    <t>Furniture - mgr offices</t>
  </si>
  <si>
    <t>Furniture - exec offices</t>
  </si>
  <si>
    <t>OFFICE</t>
  </si>
  <si>
    <t>Van</t>
  </si>
  <si>
    <t>Tech center (maintenance &amp; tools)</t>
  </si>
  <si>
    <t>Computers &amp; peripherals</t>
  </si>
  <si>
    <t>Furniture - offices</t>
  </si>
  <si>
    <t>Pallets</t>
  </si>
  <si>
    <t>Compactor</t>
  </si>
  <si>
    <t>Golf carts</t>
  </si>
  <si>
    <t>Wrapping Machine</t>
  </si>
  <si>
    <t>Forklift - End Rider, 96" forks</t>
  </si>
  <si>
    <t>Forklift - End Rider, 48" forks</t>
  </si>
  <si>
    <t>Forklift - Double deep reach, 318"</t>
  </si>
  <si>
    <t>Forklift - Double deep reach, 385"</t>
  </si>
  <si>
    <t>Forklift - Standup counterbalance 4000#</t>
  </si>
  <si>
    <t>Operating subscriptions, annual</t>
  </si>
  <si>
    <t>Rack system, cold storage</t>
  </si>
  <si>
    <t>Freezers</t>
  </si>
  <si>
    <t>Cost</t>
  </si>
  <si>
    <t>Quantity</t>
  </si>
  <si>
    <t>WAREHOUSE</t>
  </si>
  <si>
    <t>Furniture, Fixtures &amp; Equipment</t>
  </si>
  <si>
    <t>Sitework</t>
  </si>
  <si>
    <t>Concrete</t>
  </si>
  <si>
    <t>Steel</t>
  </si>
  <si>
    <t>Joist &amp; Deck</t>
  </si>
  <si>
    <t>Roofing</t>
  </si>
  <si>
    <t>IMP</t>
  </si>
  <si>
    <t>2 to 8 &amp; (-20) Cooling</t>
  </si>
  <si>
    <t>Fire Protection</t>
  </si>
  <si>
    <t>Masonry</t>
  </si>
  <si>
    <t>Millwork</t>
  </si>
  <si>
    <t>Office Skin</t>
  </si>
  <si>
    <t>Caulking</t>
  </si>
  <si>
    <t>Doors, Frames &amp; Hardware</t>
  </si>
  <si>
    <t>Dock Doors &amp; Equip</t>
  </si>
  <si>
    <t>Drywall</t>
  </si>
  <si>
    <t>Ceilings</t>
  </si>
  <si>
    <t>Interior Glass Walls</t>
  </si>
  <si>
    <t>Flooring</t>
  </si>
  <si>
    <t>Misc Specialties</t>
  </si>
  <si>
    <t>DEA Cage</t>
  </si>
  <si>
    <t>Window Treatments</t>
  </si>
  <si>
    <t>Elevators</t>
  </si>
  <si>
    <t>Plumbing</t>
  </si>
  <si>
    <t>HVAC</t>
  </si>
  <si>
    <t>Electrical</t>
  </si>
  <si>
    <t>Generators and ATS</t>
  </si>
  <si>
    <t>Fencing</t>
  </si>
  <si>
    <t>Landscaping</t>
  </si>
  <si>
    <t xml:space="preserve">       Total COW</t>
  </si>
  <si>
    <t>Design &amp; Construction Admin</t>
  </si>
  <si>
    <t xml:space="preserve">      Total Allowances</t>
  </si>
  <si>
    <t xml:space="preserve">   Total Gen Cond/Design/Admin</t>
  </si>
  <si>
    <t xml:space="preserve">   Subtotal COW, Gen Cond, Allow</t>
  </si>
  <si>
    <t>Sub bonding @ 1.25%</t>
  </si>
  <si>
    <t>General liability @ 0.65%</t>
  </si>
  <si>
    <t>Builders Risk by Owner</t>
  </si>
  <si>
    <t>Evans GC Bond @ 1.25%</t>
  </si>
  <si>
    <t xml:space="preserve">    Subtotal</t>
  </si>
  <si>
    <t>Fee @ 5%</t>
  </si>
  <si>
    <t>TOTAL DESIGN BUILD COSTS</t>
  </si>
  <si>
    <t>Thomson Corder</t>
  </si>
  <si>
    <t>Central Concrete</t>
  </si>
  <si>
    <t>North State</t>
  </si>
  <si>
    <t>New Milleniium</t>
  </si>
  <si>
    <t>Jolly Roofing</t>
  </si>
  <si>
    <t>Freez</t>
  </si>
  <si>
    <t>Sterling</t>
  </si>
  <si>
    <t>North American Protection</t>
  </si>
  <si>
    <t>Manning</t>
  </si>
  <si>
    <t>Hardwood Designs</t>
  </si>
  <si>
    <t>Greydaze</t>
  </si>
  <si>
    <t>Precision Walls</t>
  </si>
  <si>
    <t>RACO (P Walls)</t>
  </si>
  <si>
    <t>Otis</t>
  </si>
  <si>
    <t>Rogers</t>
  </si>
  <si>
    <t>Curtis Power</t>
  </si>
  <si>
    <t>Davis Fence</t>
  </si>
  <si>
    <t>Rovisys</t>
  </si>
  <si>
    <t>Bahnson</t>
  </si>
  <si>
    <t>Alta (sunk costs)</t>
  </si>
  <si>
    <t xml:space="preserve">  Site Remob &amp; Cleanup</t>
  </si>
  <si>
    <t xml:space="preserve">  Office Patio Pavers &amp; Ceiling</t>
  </si>
  <si>
    <t xml:space="preserve">  Security/Low Voltage/IT</t>
  </si>
  <si>
    <t xml:space="preserve">  Ultra Cold (-70C)</t>
  </si>
  <si>
    <t xml:space="preserve">  Generator Fuel (Initial Fill &amp; Testing)</t>
  </si>
  <si>
    <t xml:space="preserve">  FAA Lighting</t>
  </si>
  <si>
    <t xml:space="preserve">  Project Contingency</t>
  </si>
  <si>
    <t>Hard</t>
  </si>
  <si>
    <t>Soft</t>
  </si>
  <si>
    <t>Item</t>
  </si>
  <si>
    <t>Subcontractor</t>
  </si>
  <si>
    <t>200A service for additional generator</t>
  </si>
  <si>
    <t>Watson Electric</t>
  </si>
  <si>
    <t>Sunland Fire</t>
  </si>
  <si>
    <t>TBD</t>
  </si>
  <si>
    <t xml:space="preserve">  Lightning Protection</t>
  </si>
  <si>
    <t>GC Project Costs Detail</t>
  </si>
  <si>
    <t>Owner</t>
  </si>
  <si>
    <t>Others</t>
  </si>
  <si>
    <t>SOFR Forward Curve</t>
  </si>
  <si>
    <t>Beginning Balance</t>
  </si>
  <si>
    <t>Funding</t>
  </si>
  <si>
    <t>Current rate</t>
  </si>
  <si>
    <t>Accrual rate</t>
  </si>
  <si>
    <t>Ending Balance</t>
  </si>
  <si>
    <t>Interest Holdback</t>
  </si>
  <si>
    <t>C</t>
  </si>
  <si>
    <t>A+B+C</t>
  </si>
  <si>
    <t>Subtotal</t>
  </si>
  <si>
    <t>Paid by Owner</t>
  </si>
  <si>
    <t>HVAC replacement</t>
  </si>
  <si>
    <t>TOTAL PROJECT</t>
  </si>
  <si>
    <t xml:space="preserve">  Construction consultant</t>
  </si>
  <si>
    <t xml:space="preserve">  Servicing fees</t>
  </si>
  <si>
    <t xml:space="preserve">    Floor</t>
  </si>
  <si>
    <t>HVAC mini split replacement</t>
  </si>
  <si>
    <t>Total interest</t>
  </si>
  <si>
    <t>Cumulatve interest</t>
  </si>
  <si>
    <t>Multiple</t>
  </si>
  <si>
    <t>Total Borrowings</t>
  </si>
  <si>
    <t>Minimum Interest</t>
  </si>
  <si>
    <t>Validation - CRT, area 2</t>
  </si>
  <si>
    <t>Validation - Ambient</t>
  </si>
  <si>
    <t>Validation - CRT L</t>
  </si>
  <si>
    <t>Carson Industries</t>
  </si>
  <si>
    <t>Lithion Ion charger</t>
  </si>
  <si>
    <t>CSC</t>
  </si>
  <si>
    <t>Other third parties</t>
  </si>
  <si>
    <t>Project Budget</t>
  </si>
  <si>
    <t>Survey work</t>
  </si>
  <si>
    <t>FTZ license</t>
  </si>
  <si>
    <t xml:space="preserve">  Inspections</t>
  </si>
  <si>
    <t xml:space="preserve">  Interior Design</t>
  </si>
  <si>
    <t>SOURCES &amp; USES</t>
  </si>
  <si>
    <t>Sources</t>
  </si>
  <si>
    <t>Uses</t>
  </si>
  <si>
    <t>Sponsor cash</t>
  </si>
  <si>
    <t>Project Costs to Completion:</t>
  </si>
  <si>
    <t xml:space="preserve">  GMP</t>
  </si>
  <si>
    <t xml:space="preserve">  Contingencies</t>
  </si>
  <si>
    <t xml:space="preserve">  Additional costs</t>
  </si>
  <si>
    <t xml:space="preserve">  FF&amp;E</t>
  </si>
  <si>
    <t>Development Fee</t>
  </si>
  <si>
    <t>Commitment Fee</t>
  </si>
  <si>
    <t>Broker Fee</t>
  </si>
  <si>
    <t>Operating Costs Shortfall</t>
  </si>
  <si>
    <t>Sponsor's Imputed Equity</t>
  </si>
  <si>
    <t>Imputed Equity</t>
  </si>
  <si>
    <t>805 N. 23rd Street/Frontier Scientific</t>
  </si>
  <si>
    <t>805 N. 23rd Street is the fee simple real estate.</t>
  </si>
  <si>
    <t xml:space="preserve">  Stablized NOI</t>
  </si>
  <si>
    <t xml:space="preserve">  Multiple</t>
  </si>
  <si>
    <t xml:space="preserve">  Discount</t>
  </si>
  <si>
    <t xml:space="preserve">  S&amp;H Agreement, ground lease, permits, airport exclusivity</t>
  </si>
  <si>
    <t>Total Value</t>
  </si>
  <si>
    <t xml:space="preserve">  Dev fee - used</t>
  </si>
  <si>
    <t xml:space="preserve">  Dev fee - received</t>
  </si>
  <si>
    <t>Dev fee, beginning</t>
  </si>
  <si>
    <t>Total Operating Expenses</t>
  </si>
  <si>
    <t>Frontier</t>
  </si>
  <si>
    <t>Total Phase 1</t>
  </si>
  <si>
    <t>Management fee</t>
  </si>
  <si>
    <t>General and admin</t>
  </si>
  <si>
    <t>Marketing</t>
  </si>
  <si>
    <t>Professional fees</t>
  </si>
  <si>
    <t>Repair &amp; maintenance</t>
  </si>
  <si>
    <t>Utiliities</t>
  </si>
  <si>
    <t>Real estate taxes</t>
  </si>
  <si>
    <t>Insurance</t>
  </si>
  <si>
    <t>Contract services</t>
  </si>
  <si>
    <t>Office personnel</t>
  </si>
  <si>
    <t>Warehouse personnel</t>
  </si>
  <si>
    <t>Other</t>
  </si>
  <si>
    <t>Bank fees</t>
  </si>
  <si>
    <t>Travel - meals</t>
  </si>
  <si>
    <t>Travel - ground</t>
  </si>
  <si>
    <t>Travel - lodging</t>
  </si>
  <si>
    <t>Travel - air</t>
  </si>
  <si>
    <t>Dues &amp; subscriptions</t>
  </si>
  <si>
    <t>Rent</t>
  </si>
  <si>
    <t>Accounting fees</t>
  </si>
  <si>
    <t>Legal fees</t>
  </si>
  <si>
    <t>Conferences</t>
  </si>
  <si>
    <t>Total 805</t>
  </si>
  <si>
    <t>Office supplies &amp; expense</t>
  </si>
  <si>
    <t>Equipment maintenance</t>
  </si>
  <si>
    <t>Vehicle maintenance</t>
  </si>
  <si>
    <t>Ground maintenance</t>
  </si>
  <si>
    <t>Building maintenance</t>
  </si>
  <si>
    <t>Pest control</t>
  </si>
  <si>
    <t>Janitorial</t>
  </si>
  <si>
    <t>Diesel</t>
  </si>
  <si>
    <t>Stormwater</t>
  </si>
  <si>
    <t>Water/sewer</t>
  </si>
  <si>
    <t>Electric</t>
  </si>
  <si>
    <t>Internet</t>
  </si>
  <si>
    <t>Property taxes</t>
  </si>
  <si>
    <t>Interest expense</t>
  </si>
  <si>
    <t>CIL Wilmington</t>
  </si>
  <si>
    <t>Operating Costs</t>
  </si>
  <si>
    <t>Project Costs</t>
  </si>
  <si>
    <t>Less: Cash invested</t>
  </si>
  <si>
    <t>Other funding</t>
  </si>
  <si>
    <t xml:space="preserve">  Applicaton #16 (July) #4</t>
  </si>
  <si>
    <t>Foundation donation</t>
  </si>
  <si>
    <t>OPEN</t>
  </si>
  <si>
    <t xml:space="preserve">  Financing broker</t>
  </si>
  <si>
    <t xml:space="preserve">  Real estate broker Fee</t>
  </si>
  <si>
    <t>Financing broker Fee</t>
  </si>
  <si>
    <t>Billed</t>
  </si>
  <si>
    <t>ILM Phase 1</t>
  </si>
  <si>
    <t>805 N. 23rd St.</t>
  </si>
  <si>
    <t>Other costs</t>
  </si>
  <si>
    <t>Forklifts (stand up delivered)</t>
  </si>
  <si>
    <t>As of 4/18/2024</t>
  </si>
  <si>
    <t>PROJECT COMPLETION</t>
  </si>
  <si>
    <t>CLOSING JULY 2024</t>
  </si>
  <si>
    <t>Repairs from thermal imaging scan</t>
  </si>
  <si>
    <t>Sprinkler system upgrade (estimate)</t>
  </si>
  <si>
    <t>Stirling</t>
  </si>
  <si>
    <t>200A ATS</t>
  </si>
  <si>
    <t>Phase 2 due diligence</t>
  </si>
  <si>
    <t>(1)</t>
  </si>
  <si>
    <t>(2)</t>
  </si>
  <si>
    <t>PAYMENTS MADE</t>
  </si>
  <si>
    <t>(1) 2 additional are being leased through North Star</t>
  </si>
  <si>
    <t>(1) 3 additional are being leased through North Star</t>
  </si>
  <si>
    <t xml:space="preserve">These forklifts have been delivered. We are paying $10,700/mo with $8,560 being applied to the purchase price. </t>
  </si>
  <si>
    <t>Delivery and forklift standup</t>
  </si>
  <si>
    <t>See Tab - ILM FF&amp;E for equipment amounts paid</t>
  </si>
  <si>
    <t>Computer expense</t>
  </si>
  <si>
    <t>Equipment rental</t>
  </si>
  <si>
    <t>Executives</t>
  </si>
  <si>
    <t>805 FF&amp;E</t>
  </si>
  <si>
    <t>Paid by Owners</t>
  </si>
  <si>
    <t>Paid by Owner To Date</t>
  </si>
  <si>
    <t>Costs paid prior to closing</t>
  </si>
  <si>
    <t>Frontier Scientific has licenses to operate an FDA cGMP facility.</t>
  </si>
  <si>
    <t>Development fee reinvested</t>
  </si>
  <si>
    <t>Development Fee reinvested</t>
  </si>
  <si>
    <t>Dev fee balance</t>
  </si>
  <si>
    <t xml:space="preserve">  Dev fee - available</t>
  </si>
  <si>
    <t xml:space="preserve">  Development Fee</t>
  </si>
  <si>
    <t>Operating costs shortfall</t>
  </si>
  <si>
    <t>Sponsor Equity</t>
  </si>
  <si>
    <t>805 Mortgage Payoff</t>
  </si>
  <si>
    <t>Lender legal</t>
  </si>
  <si>
    <t>Trackwise</t>
  </si>
  <si>
    <t>cGMP documentation tracking software</t>
  </si>
  <si>
    <t>Validation &amp; calibration</t>
  </si>
  <si>
    <t>Peter Ruggiero</t>
  </si>
  <si>
    <t xml:space="preserve">  Controls &amp; Validation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</si>
</sst>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;#,##0.00\-"/>
    <numFmt numFmtId="166" formatCode="[$-409]mmm\-yy;@"/>
    <numFmt numFmtId="167" formatCode="0.0%"/>
    <numFmt numFmtId="168" formatCode="_(* #,##0.0_);_(* \(#,##0.0\);_(* &quot;-&quot;??_);_(@_)"/>
    <numFmt numFmtId="169" formatCode="&quot;S+&quot;0.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0" xfId="1" applyNumberFormat="1" applyFont="1" applyBorder="1"/>
    <xf numFmtId="164" fontId="4" fillId="0" borderId="0" xfId="1" applyNumberFormat="1" applyFont="1"/>
    <xf numFmtId="164" fontId="4" fillId="0" borderId="2" xfId="1" applyNumberFormat="1" applyFont="1" applyBorder="1"/>
    <xf numFmtId="14" fontId="0" fillId="0" borderId="0" xfId="0" applyNumberFormat="1"/>
    <xf numFmtId="43" fontId="2" fillId="0" borderId="0" xfId="1" applyFont="1" applyAlignment="1">
      <alignment horizontal="center" wrapText="1"/>
    </xf>
    <xf numFmtId="43" fontId="6" fillId="0" borderId="0" xfId="1" applyFont="1" applyAlignment="1">
      <alignment vertical="top"/>
    </xf>
    <xf numFmtId="0" fontId="6" fillId="0" borderId="0" xfId="2" applyFont="1">
      <alignment vertical="top"/>
    </xf>
    <xf numFmtId="43" fontId="0" fillId="0" borderId="1" xfId="0" applyNumberFormat="1" applyBorder="1"/>
    <xf numFmtId="165" fontId="6" fillId="0" borderId="0" xfId="2" applyNumberFormat="1" applyFont="1">
      <alignment vertical="top"/>
    </xf>
    <xf numFmtId="165" fontId="0" fillId="0" borderId="1" xfId="0" applyNumberFormat="1" applyBorder="1"/>
    <xf numFmtId="43" fontId="0" fillId="0" borderId="0" xfId="1" applyFont="1"/>
    <xf numFmtId="43" fontId="0" fillId="0" borderId="1" xfId="1" applyFont="1" applyBorder="1"/>
    <xf numFmtId="0" fontId="7" fillId="0" borderId="0" xfId="0" applyFont="1"/>
    <xf numFmtId="44" fontId="0" fillId="0" borderId="0" xfId="3" applyFont="1"/>
    <xf numFmtId="43" fontId="0" fillId="0" borderId="2" xfId="1" applyFont="1" applyBorder="1"/>
    <xf numFmtId="43" fontId="0" fillId="0" borderId="3" xfId="1" applyFont="1" applyBorder="1"/>
    <xf numFmtId="14" fontId="2" fillId="0" borderId="0" xfId="0" applyNumberFormat="1" applyFont="1" applyAlignment="1">
      <alignment horizontal="center" wrapText="1"/>
    </xf>
    <xf numFmtId="14" fontId="6" fillId="0" borderId="0" xfId="2" applyNumberFormat="1" applyFont="1">
      <alignment vertical="top"/>
    </xf>
    <xf numFmtId="165" fontId="0" fillId="0" borderId="2" xfId="0" applyNumberFormat="1" applyBorder="1"/>
    <xf numFmtId="165" fontId="0" fillId="0" borderId="0" xfId="0" applyNumberFormat="1"/>
    <xf numFmtId="43" fontId="0" fillId="0" borderId="0" xfId="0" applyNumberFormat="1"/>
    <xf numFmtId="43" fontId="0" fillId="0" borderId="2" xfId="0" applyNumberFormat="1" applyBorder="1"/>
    <xf numFmtId="43" fontId="0" fillId="0" borderId="0" xfId="1" applyFont="1" applyBorder="1"/>
    <xf numFmtId="0" fontId="8" fillId="0" borderId="0" xfId="0" applyFont="1" applyAlignment="1">
      <alignment horizontal="center"/>
    </xf>
    <xf numFmtId="0" fontId="10" fillId="0" borderId="0" xfId="2" applyFont="1">
      <alignment vertical="top"/>
    </xf>
    <xf numFmtId="165" fontId="10" fillId="0" borderId="0" xfId="2" applyNumberFormat="1" applyFont="1">
      <alignment vertical="top"/>
    </xf>
    <xf numFmtId="43" fontId="1" fillId="0" borderId="0" xfId="1" applyFont="1"/>
    <xf numFmtId="166" fontId="0" fillId="0" borderId="0" xfId="0" applyNumberFormat="1"/>
    <xf numFmtId="17" fontId="2" fillId="0" borderId="0" xfId="0" applyNumberFormat="1" applyFont="1" applyAlignment="1">
      <alignment horizontal="center" wrapText="1"/>
    </xf>
    <xf numFmtId="17" fontId="2" fillId="0" borderId="0" xfId="1" applyNumberFormat="1" applyFont="1" applyAlignment="1">
      <alignment horizontal="center" wrapText="1"/>
    </xf>
    <xf numFmtId="164" fontId="0" fillId="0" borderId="1" xfId="1" applyNumberFormat="1" applyFont="1" applyBorder="1"/>
    <xf numFmtId="17" fontId="8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1" applyNumberFormat="1" applyFont="1" applyBorder="1"/>
    <xf numFmtId="0" fontId="8" fillId="0" borderId="0" xfId="0" applyFont="1"/>
    <xf numFmtId="164" fontId="8" fillId="0" borderId="0" xfId="1" applyNumberFormat="1" applyFont="1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8" fillId="2" borderId="0" xfId="0" applyFont="1" applyFill="1"/>
    <xf numFmtId="14" fontId="0" fillId="0" borderId="0" xfId="0" applyNumberFormat="1" applyAlignment="1">
      <alignment horizontal="left"/>
    </xf>
    <xf numFmtId="14" fontId="11" fillId="0" borderId="0" xfId="0" applyNumberFormat="1" applyFont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164" fontId="4" fillId="0" borderId="4" xfId="1" applyNumberFormat="1" applyFont="1" applyBorder="1"/>
    <xf numFmtId="43" fontId="0" fillId="0" borderId="4" xfId="1" applyFont="1" applyBorder="1"/>
    <xf numFmtId="164" fontId="0" fillId="0" borderId="0" xfId="0" applyNumberFormat="1"/>
    <xf numFmtId="43" fontId="1" fillId="0" borderId="0" xfId="1" applyFont="1" applyFill="1"/>
    <xf numFmtId="0" fontId="7" fillId="0" borderId="0" xfId="5"/>
    <xf numFmtId="164" fontId="0" fillId="0" borderId="0" xfId="6" applyNumberFormat="1" applyFont="1"/>
    <xf numFmtId="164" fontId="0" fillId="0" borderId="0" xfId="6" applyNumberFormat="1" applyFont="1" applyBorder="1"/>
    <xf numFmtId="164" fontId="7" fillId="0" borderId="0" xfId="6" applyNumberFormat="1" applyFont="1"/>
    <xf numFmtId="164" fontId="7" fillId="0" borderId="0" xfId="5" applyNumberFormat="1"/>
    <xf numFmtId="164" fontId="7" fillId="0" borderId="0" xfId="6" applyNumberFormat="1" applyFont="1" applyBorder="1"/>
    <xf numFmtId="167" fontId="7" fillId="0" borderId="0" xfId="7" applyNumberFormat="1" applyFont="1"/>
    <xf numFmtId="164" fontId="7" fillId="0" borderId="2" xfId="6" applyNumberFormat="1" applyFont="1" applyBorder="1"/>
    <xf numFmtId="164" fontId="0" fillId="0" borderId="2" xfId="6" applyNumberFormat="1" applyFont="1" applyBorder="1"/>
    <xf numFmtId="9" fontId="7" fillId="0" borderId="0" xfId="7" applyFont="1"/>
    <xf numFmtId="168" fontId="7" fillId="0" borderId="0" xfId="6" applyNumberFormat="1" applyFont="1"/>
    <xf numFmtId="10" fontId="7" fillId="0" borderId="0" xfId="5" applyNumberFormat="1"/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 wrapText="1"/>
    </xf>
    <xf numFmtId="164" fontId="2" fillId="0" borderId="0" xfId="6" applyNumberFormat="1" applyFont="1" applyAlignment="1">
      <alignment horizontal="center" wrapText="1"/>
    </xf>
    <xf numFmtId="10" fontId="0" fillId="0" borderId="0" xfId="7" applyNumberFormat="1" applyFont="1"/>
    <xf numFmtId="0" fontId="15" fillId="0" borderId="0" xfId="5" applyFont="1"/>
    <xf numFmtId="164" fontId="0" fillId="0" borderId="10" xfId="6" applyNumberFormat="1" applyFont="1" applyBorder="1"/>
    <xf numFmtId="0" fontId="7" fillId="0" borderId="12" xfId="5" applyBorder="1"/>
    <xf numFmtId="0" fontId="1" fillId="0" borderId="0" xfId="8"/>
    <xf numFmtId="0" fontId="8" fillId="0" borderId="0" xfId="8" applyFont="1"/>
    <xf numFmtId="0" fontId="4" fillId="0" borderId="0" xfId="8" applyFont="1"/>
    <xf numFmtId="0" fontId="2" fillId="0" borderId="0" xfId="8" applyFont="1" applyAlignment="1">
      <alignment horizontal="center" wrapText="1"/>
    </xf>
    <xf numFmtId="10" fontId="0" fillId="4" borderId="0" xfId="7" applyNumberFormat="1" applyFont="1" applyFill="1"/>
    <xf numFmtId="164" fontId="0" fillId="4" borderId="2" xfId="1" applyNumberFormat="1" applyFont="1" applyFill="1" applyBorder="1"/>
    <xf numFmtId="164" fontId="0" fillId="4" borderId="15" xfId="1" applyNumberFormat="1" applyFont="1" applyFill="1" applyBorder="1"/>
    <xf numFmtId="10" fontId="0" fillId="4" borderId="6" xfId="7" applyNumberFormat="1" applyFont="1" applyFill="1" applyBorder="1"/>
    <xf numFmtId="164" fontId="0" fillId="4" borderId="7" xfId="1" applyNumberFormat="1" applyFont="1" applyFill="1" applyBorder="1"/>
    <xf numFmtId="0" fontId="15" fillId="4" borderId="5" xfId="5" applyFont="1" applyFill="1" applyBorder="1"/>
    <xf numFmtId="0" fontId="15" fillId="4" borderId="0" xfId="5" applyFont="1" applyFill="1"/>
    <xf numFmtId="10" fontId="7" fillId="0" borderId="0" xfId="7" applyNumberFormat="1" applyFont="1"/>
    <xf numFmtId="10" fontId="2" fillId="0" borderId="0" xfId="7" applyNumberFormat="1" applyFont="1" applyAlignment="1">
      <alignment horizontal="center" wrapText="1"/>
    </xf>
    <xf numFmtId="164" fontId="4" fillId="0" borderId="2" xfId="6" applyNumberFormat="1" applyFont="1" applyBorder="1"/>
    <xf numFmtId="164" fontId="4" fillId="0" borderId="0" xfId="6" applyNumberFormat="1" applyFont="1" applyBorder="1"/>
    <xf numFmtId="164" fontId="7" fillId="0" borderId="2" xfId="1" applyNumberFormat="1" applyFont="1" applyBorder="1"/>
    <xf numFmtId="0" fontId="7" fillId="0" borderId="13" xfId="5" applyBorder="1"/>
    <xf numFmtId="166" fontId="15" fillId="0" borderId="0" xfId="6" applyNumberFormat="1" applyFont="1" applyBorder="1" applyAlignment="1">
      <alignment horizontal="center"/>
    </xf>
    <xf numFmtId="0" fontId="2" fillId="0" borderId="11" xfId="5" applyFont="1" applyBorder="1" applyAlignment="1">
      <alignment horizontal="center" wrapText="1"/>
    </xf>
    <xf numFmtId="164" fontId="7" fillId="0" borderId="0" xfId="1" applyNumberFormat="1" applyFont="1" applyBorder="1"/>
    <xf numFmtId="0" fontId="7" fillId="0" borderId="11" xfId="5" applyBorder="1"/>
    <xf numFmtId="164" fontId="7" fillId="0" borderId="9" xfId="1" applyNumberFormat="1" applyFont="1" applyBorder="1"/>
    <xf numFmtId="0" fontId="7" fillId="0" borderId="8" xfId="5" applyBorder="1"/>
    <xf numFmtId="10" fontId="0" fillId="0" borderId="0" xfId="4" applyNumberFormat="1" applyFont="1"/>
    <xf numFmtId="10" fontId="0" fillId="0" borderId="0" xfId="0" applyNumberFormat="1"/>
    <xf numFmtId="10" fontId="15" fillId="0" borderId="0" xfId="4" applyNumberFormat="1" applyFont="1" applyBorder="1" applyAlignment="1">
      <alignment horizontal="center"/>
    </xf>
    <xf numFmtId="10" fontId="16" fillId="0" borderId="0" xfId="4" applyNumberFormat="1" applyFont="1" applyBorder="1" applyAlignment="1">
      <alignment horizontal="center"/>
    </xf>
    <xf numFmtId="169" fontId="0" fillId="0" borderId="0" xfId="0" applyNumberFormat="1"/>
    <xf numFmtId="14" fontId="2" fillId="0" borderId="0" xfId="6" applyNumberFormat="1" applyFont="1" applyBorder="1" applyAlignment="1">
      <alignment horizontal="center" wrapText="1"/>
    </xf>
    <xf numFmtId="166" fontId="2" fillId="0" borderId="0" xfId="6" applyNumberFormat="1" applyFont="1" applyBorder="1" applyAlignment="1">
      <alignment horizontal="center" wrapText="1"/>
    </xf>
    <xf numFmtId="164" fontId="17" fillId="0" borderId="0" xfId="6" applyNumberFormat="1" applyFont="1" applyBorder="1"/>
    <xf numFmtId="164" fontId="17" fillId="0" borderId="0" xfId="6" applyNumberFormat="1" applyFont="1"/>
    <xf numFmtId="0" fontId="7" fillId="4" borderId="0" xfId="5" applyFill="1"/>
    <xf numFmtId="164" fontId="0" fillId="4" borderId="1" xfId="6" applyNumberFormat="1" applyFont="1" applyFill="1" applyBorder="1"/>
    <xf numFmtId="164" fontId="0" fillId="4" borderId="0" xfId="6" applyNumberFormat="1" applyFont="1" applyFill="1"/>
    <xf numFmtId="164" fontId="7" fillId="4" borderId="0" xfId="6" applyNumberFormat="1" applyFont="1" applyFill="1" applyBorder="1"/>
    <xf numFmtId="0" fontId="7" fillId="4" borderId="11" xfId="5" applyFill="1" applyBorder="1"/>
    <xf numFmtId="164" fontId="7" fillId="4" borderId="3" xfId="1" applyNumberFormat="1" applyFont="1" applyFill="1" applyBorder="1"/>
    <xf numFmtId="0" fontId="0" fillId="0" borderId="0" xfId="8" applyFont="1"/>
    <xf numFmtId="164" fontId="4" fillId="0" borderId="0" xfId="6" applyNumberFormat="1" applyFont="1"/>
    <xf numFmtId="164" fontId="5" fillId="0" borderId="0" xfId="6" applyNumberFormat="1" applyFont="1" applyAlignment="1">
      <alignment horizontal="center" wrapText="1"/>
    </xf>
    <xf numFmtId="164" fontId="4" fillId="0" borderId="15" xfId="6" applyNumberFormat="1" applyFont="1" applyBorder="1"/>
    <xf numFmtId="164" fontId="4" fillId="4" borderId="1" xfId="6" applyNumberFormat="1" applyFont="1" applyFill="1" applyBorder="1"/>
    <xf numFmtId="164" fontId="4" fillId="0" borderId="4" xfId="6" applyNumberFormat="1" applyFont="1" applyBorder="1"/>
    <xf numFmtId="0" fontId="0" fillId="0" borderId="0" xfId="0" applyAlignment="1">
      <alignment horizontal="right"/>
    </xf>
    <xf numFmtId="168" fontId="0" fillId="0" borderId="0" xfId="1" applyNumberFormat="1" applyFont="1"/>
    <xf numFmtId="164" fontId="12" fillId="2" borderId="0" xfId="6" applyNumberFormat="1" applyFont="1" applyFill="1" applyAlignment="1">
      <alignment horizontal="center" wrapText="1"/>
    </xf>
    <xf numFmtId="0" fontId="12" fillId="3" borderId="0" xfId="5" applyFont="1" applyFill="1" applyAlignment="1">
      <alignment horizontal="center" wrapText="1"/>
    </xf>
    <xf numFmtId="0" fontId="8" fillId="0" borderId="10" xfId="6" applyNumberFormat="1" applyFont="1" applyBorder="1"/>
    <xf numFmtId="0" fontId="12" fillId="0" borderId="0" xfId="6" applyNumberFormat="1" applyFont="1" applyBorder="1"/>
    <xf numFmtId="0" fontId="0" fillId="0" borderId="10" xfId="6" applyNumberFormat="1" applyFont="1" applyBorder="1"/>
    <xf numFmtId="0" fontId="4" fillId="0" borderId="0" xfId="6" applyNumberFormat="1" applyFont="1" applyBorder="1" applyAlignment="1">
      <alignment horizontal="left"/>
    </xf>
    <xf numFmtId="164" fontId="4" fillId="0" borderId="11" xfId="6" applyNumberFormat="1" applyFont="1" applyBorder="1"/>
    <xf numFmtId="164" fontId="7" fillId="0" borderId="11" xfId="5" applyNumberFormat="1" applyBorder="1"/>
    <xf numFmtId="164" fontId="7" fillId="0" borderId="17" xfId="5" applyNumberFormat="1" applyBorder="1"/>
    <xf numFmtId="0" fontId="0" fillId="0" borderId="0" xfId="6" applyNumberFormat="1" applyFont="1" applyBorder="1"/>
    <xf numFmtId="0" fontId="0" fillId="0" borderId="14" xfId="6" applyNumberFormat="1" applyFont="1" applyBorder="1"/>
    <xf numFmtId="0" fontId="4" fillId="0" borderId="9" xfId="6" applyNumberFormat="1" applyFont="1" applyBorder="1"/>
    <xf numFmtId="0" fontId="7" fillId="0" borderId="9" xfId="5" applyBorder="1"/>
    <xf numFmtId="0" fontId="4" fillId="0" borderId="0" xfId="6" applyNumberFormat="1" applyFont="1" applyBorder="1"/>
    <xf numFmtId="0" fontId="0" fillId="0" borderId="0" xfId="6" applyNumberFormat="1" applyFont="1"/>
    <xf numFmtId="0" fontId="4" fillId="0" borderId="0" xfId="6" applyNumberFormat="1" applyFont="1"/>
    <xf numFmtId="0" fontId="8" fillId="4" borderId="5" xfId="6" applyNumberFormat="1" applyFont="1" applyFill="1" applyBorder="1"/>
    <xf numFmtId="0" fontId="7" fillId="4" borderId="6" xfId="5" applyFill="1" applyBorder="1"/>
    <xf numFmtId="0" fontId="8" fillId="4" borderId="7" xfId="6" applyNumberFormat="1" applyFont="1" applyFill="1" applyBorder="1"/>
    <xf numFmtId="164" fontId="7" fillId="0" borderId="20" xfId="5" applyNumberFormat="1" applyBorder="1"/>
    <xf numFmtId="9" fontId="7" fillId="0" borderId="11" xfId="4" applyFont="1" applyBorder="1"/>
    <xf numFmtId="164" fontId="7" fillId="0" borderId="8" xfId="5" applyNumberFormat="1" applyBorder="1"/>
    <xf numFmtId="0" fontId="0" fillId="0" borderId="0" xfId="0" applyAlignment="1">
      <alignment horizontal="left"/>
    </xf>
    <xf numFmtId="164" fontId="0" fillId="0" borderId="2" xfId="0" applyNumberFormat="1" applyBorder="1"/>
    <xf numFmtId="164" fontId="8" fillId="0" borderId="0" xfId="1" applyNumberFormat="1" applyFont="1" applyBorder="1"/>
    <xf numFmtId="164" fontId="8" fillId="0" borderId="2" xfId="1" applyNumberFormat="1" applyFont="1" applyBorder="1"/>
    <xf numFmtId="0" fontId="19" fillId="0" borderId="0" xfId="2" applyFont="1" applyAlignment="1"/>
    <xf numFmtId="164" fontId="19" fillId="0" borderId="0" xfId="9" applyNumberFormat="1" applyFont="1"/>
    <xf numFmtId="164" fontId="19" fillId="0" borderId="0" xfId="6" applyNumberFormat="1" applyFont="1"/>
    <xf numFmtId="164" fontId="1" fillId="0" borderId="0" xfId="1" applyNumberFormat="1" applyFont="1"/>
    <xf numFmtId="164" fontId="1" fillId="0" borderId="2" xfId="1" applyNumberFormat="1" applyFont="1" applyBorder="1"/>
    <xf numFmtId="0" fontId="4" fillId="0" borderId="0" xfId="2" applyFont="1" applyAlignment="1"/>
    <xf numFmtId="0" fontId="0" fillId="0" borderId="0" xfId="0" applyAlignment="1">
      <alignment horizontal="center" wrapText="1"/>
    </xf>
    <xf numFmtId="166" fontId="0" fillId="0" borderId="0" xfId="0" applyNumberFormat="1" applyAlignment="1">
      <alignment horizontal="center" wrapText="1"/>
    </xf>
    <xf numFmtId="0" fontId="20" fillId="0" borderId="0" xfId="0" applyFont="1" applyAlignment="1">
      <alignment horizontal="center" wrapText="1"/>
    </xf>
    <xf numFmtId="166" fontId="20" fillId="0" borderId="0" xfId="0" applyNumberFormat="1" applyFont="1" applyAlignment="1">
      <alignment horizontal="center" wrapText="1"/>
    </xf>
    <xf numFmtId="164" fontId="0" fillId="0" borderId="4" xfId="6" applyNumberFormat="1" applyFont="1" applyBorder="1"/>
    <xf numFmtId="164" fontId="7" fillId="0" borderId="4" xfId="5" applyNumberFormat="1" applyBorder="1"/>
    <xf numFmtId="164" fontId="7" fillId="0" borderId="19" xfId="5" applyNumberFormat="1" applyBorder="1"/>
    <xf numFmtId="0" fontId="0" fillId="0" borderId="16" xfId="6" applyNumberFormat="1" applyFont="1" applyBorder="1"/>
    <xf numFmtId="164" fontId="7" fillId="0" borderId="13" xfId="5" applyNumberFormat="1" applyBorder="1"/>
    <xf numFmtId="164" fontId="7" fillId="0" borderId="20" xfId="5" applyNumberFormat="1" applyBorder="1" applyAlignment="1">
      <alignment vertical="top"/>
    </xf>
    <xf numFmtId="164" fontId="15" fillId="0" borderId="11" xfId="5" applyNumberFormat="1" applyFont="1" applyBorder="1"/>
    <xf numFmtId="164" fontId="7" fillId="0" borderId="2" xfId="5" applyNumberFormat="1" applyBorder="1"/>
    <xf numFmtId="164" fontId="7" fillId="0" borderId="0" xfId="1" applyNumberFormat="1" applyFont="1"/>
    <xf numFmtId="164" fontId="7" fillId="0" borderId="1" xfId="1" applyNumberFormat="1" applyFont="1" applyBorder="1"/>
    <xf numFmtId="164" fontId="7" fillId="0" borderId="1" xfId="5" applyNumberFormat="1" applyBorder="1"/>
    <xf numFmtId="164" fontId="4" fillId="0" borderId="0" xfId="1" applyNumberFormat="1" applyFont="1" applyBorder="1" applyAlignment="1">
      <alignment horizontal="center"/>
    </xf>
    <xf numFmtId="14" fontId="10" fillId="0" borderId="0" xfId="2" applyNumberFormat="1" applyFont="1">
      <alignment vertical="top"/>
    </xf>
    <xf numFmtId="43" fontId="10" fillId="0" borderId="0" xfId="1" applyFont="1" applyAlignment="1">
      <alignment vertical="top"/>
    </xf>
    <xf numFmtId="0" fontId="10" fillId="0" borderId="0" xfId="2" applyFont="1" applyAlignment="1">
      <alignment vertical="top" wrapText="1"/>
    </xf>
    <xf numFmtId="166" fontId="2" fillId="0" borderId="0" xfId="8" applyNumberFormat="1" applyFont="1" applyAlignment="1">
      <alignment horizontal="center" wrapText="1"/>
    </xf>
    <xf numFmtId="0" fontId="1" fillId="0" borderId="0" xfId="8" quotePrefix="1"/>
    <xf numFmtId="43" fontId="1" fillId="0" borderId="1" xfId="1" applyFont="1" applyBorder="1"/>
    <xf numFmtId="166" fontId="15" fillId="0" borderId="21" xfId="6" applyNumberFormat="1" applyFont="1" applyBorder="1" applyAlignment="1">
      <alignment horizontal="center"/>
    </xf>
    <xf numFmtId="164" fontId="0" fillId="0" borderId="3" xfId="1" applyNumberFormat="1" applyFont="1" applyBorder="1"/>
    <xf numFmtId="164" fontId="1" fillId="0" borderId="0" xfId="1" applyNumberFormat="1" applyFont="1" applyBorder="1"/>
    <xf numFmtId="164" fontId="0" fillId="4" borderId="0" xfId="6" applyNumberFormat="1" applyFont="1" applyFill="1" applyBorder="1"/>
    <xf numFmtId="14" fontId="7" fillId="0" borderId="0" xfId="5" applyNumberFormat="1" applyAlignment="1">
      <alignment horizontal="left"/>
    </xf>
    <xf numFmtId="166" fontId="15" fillId="0" borderId="10" xfId="6" applyNumberFormat="1" applyFont="1" applyBorder="1" applyAlignment="1">
      <alignment horizontal="center"/>
    </xf>
    <xf numFmtId="164" fontId="7" fillId="0" borderId="10" xfId="1" applyNumberFormat="1" applyFont="1" applyBorder="1"/>
    <xf numFmtId="164" fontId="7" fillId="0" borderId="22" xfId="1" applyNumberFormat="1" applyFont="1" applyBorder="1"/>
    <xf numFmtId="164" fontId="4" fillId="0" borderId="22" xfId="1" applyNumberFormat="1" applyFont="1" applyBorder="1"/>
    <xf numFmtId="164" fontId="4" fillId="0" borderId="10" xfId="1" applyNumberFormat="1" applyFont="1" applyBorder="1"/>
    <xf numFmtId="164" fontId="4" fillId="0" borderId="23" xfId="1" applyNumberFormat="1" applyFont="1" applyBorder="1"/>
    <xf numFmtId="164" fontId="17" fillId="0" borderId="10" xfId="6" applyNumberFormat="1" applyFont="1" applyBorder="1"/>
    <xf numFmtId="164" fontId="0" fillId="4" borderId="24" xfId="6" applyNumberFormat="1" applyFont="1" applyFill="1" applyBorder="1"/>
    <xf numFmtId="164" fontId="7" fillId="0" borderId="14" xfId="1" applyNumberFormat="1" applyFont="1" applyBorder="1"/>
    <xf numFmtId="164" fontId="1" fillId="0" borderId="0" xfId="6" applyNumberFormat="1" applyFont="1" applyBorder="1"/>
    <xf numFmtId="0" fontId="1" fillId="0" borderId="10" xfId="6" applyNumberFormat="1" applyFont="1" applyBorder="1"/>
    <xf numFmtId="164" fontId="1" fillId="0" borderId="10" xfId="6" applyNumberFormat="1" applyFont="1" applyBorder="1"/>
    <xf numFmtId="164" fontId="1" fillId="0" borderId="2" xfId="6" applyNumberFormat="1" applyFont="1" applyBorder="1"/>
    <xf numFmtId="0" fontId="1" fillId="0" borderId="0" xfId="6" applyNumberFormat="1" applyFont="1" applyBorder="1"/>
    <xf numFmtId="0" fontId="1" fillId="0" borderId="14" xfId="6" applyNumberFormat="1" applyFont="1" applyBorder="1"/>
    <xf numFmtId="0" fontId="1" fillId="0" borderId="9" xfId="6" applyNumberFormat="1" applyFont="1" applyBorder="1"/>
    <xf numFmtId="0" fontId="4" fillId="0" borderId="0" xfId="5" applyFont="1"/>
    <xf numFmtId="0" fontId="4" fillId="0" borderId="11" xfId="5" applyFont="1" applyBorder="1"/>
    <xf numFmtId="0" fontId="4" fillId="0" borderId="0" xfId="5" applyFont="1" applyAlignment="1">
      <alignment horizontal="left"/>
    </xf>
    <xf numFmtId="164" fontId="4" fillId="0" borderId="11" xfId="5" applyNumberFormat="1" applyFont="1" applyBorder="1"/>
    <xf numFmtId="164" fontId="4" fillId="0" borderId="17" xfId="5" applyNumberFormat="1" applyFont="1" applyBorder="1"/>
    <xf numFmtId="164" fontId="4" fillId="0" borderId="18" xfId="1" applyNumberFormat="1" applyFont="1" applyBorder="1"/>
    <xf numFmtId="164" fontId="4" fillId="0" borderId="19" xfId="1" applyNumberFormat="1" applyFont="1" applyBorder="1"/>
    <xf numFmtId="0" fontId="4" fillId="0" borderId="9" xfId="5" applyFont="1" applyBorder="1"/>
    <xf numFmtId="0" fontId="4" fillId="0" borderId="8" xfId="5" applyFont="1" applyBorder="1"/>
    <xf numFmtId="0" fontId="7" fillId="0" borderId="23" xfId="5" applyBorder="1"/>
    <xf numFmtId="43" fontId="1" fillId="0" borderId="0" xfId="1"/>
    <xf numFmtId="43" fontId="1" fillId="0" borderId="0" xfId="1" quotePrefix="1"/>
    <xf numFmtId="43" fontId="4" fillId="0" borderId="0" xfId="1" applyFont="1"/>
    <xf numFmtId="0" fontId="4" fillId="0" borderId="0" xfId="2" applyFont="1">
      <alignment vertical="top"/>
    </xf>
    <xf numFmtId="14" fontId="4" fillId="0" borderId="0" xfId="0" applyNumberFormat="1" applyFont="1"/>
    <xf numFmtId="43" fontId="4" fillId="0" borderId="0" xfId="1" applyFont="1" applyAlignment="1">
      <alignment vertical="top"/>
    </xf>
    <xf numFmtId="0" fontId="5" fillId="0" borderId="0" xfId="8" applyFont="1" applyAlignment="1">
      <alignment horizontal="center" wrapText="1"/>
    </xf>
    <xf numFmtId="43" fontId="5" fillId="0" borderId="0" xfId="1" applyFont="1" applyAlignment="1">
      <alignment horizontal="center" wrapText="1"/>
    </xf>
    <xf numFmtId="0" fontId="4" fillId="0" borderId="0" xfId="2" applyFont="1" applyAlignment="1">
      <alignment vertical="top" wrapText="1"/>
    </xf>
    <xf numFmtId="43" fontId="4" fillId="0" borderId="1" xfId="1" applyFont="1" applyBorder="1"/>
    <xf numFmtId="43" fontId="0" fillId="0" borderId="0" xfId="1" applyFont="1" applyFill="1"/>
    <xf numFmtId="0" fontId="18" fillId="4" borderId="5" xfId="6" applyNumberFormat="1" applyFont="1" applyFill="1" applyBorder="1" applyAlignment="1">
      <alignment horizontal="center"/>
    </xf>
    <xf numFmtId="0" fontId="18" fillId="4" borderId="6" xfId="6" applyNumberFormat="1" applyFont="1" applyFill="1" applyBorder="1" applyAlignment="1">
      <alignment horizontal="center"/>
    </xf>
    <xf numFmtId="0" fontId="18" fillId="4" borderId="7" xfId="6" applyNumberFormat="1" applyFont="1" applyFill="1" applyBorder="1" applyAlignment="1">
      <alignment horizontal="center"/>
    </xf>
    <xf numFmtId="0" fontId="4" fillId="0" borderId="0" xfId="6" applyNumberFormat="1" applyFont="1" applyAlignment="1">
      <alignment wrapText="1"/>
    </xf>
    <xf numFmtId="0" fontId="0" fillId="0" borderId="10" xfId="6" applyNumberFormat="1" applyFont="1" applyBorder="1" applyAlignment="1">
      <alignment wrapText="1"/>
    </xf>
    <xf numFmtId="0" fontId="0" fillId="0" borderId="0" xfId="6" applyNumberFormat="1" applyFont="1" applyBorder="1" applyAlignment="1">
      <alignment wrapText="1"/>
    </xf>
    <xf numFmtId="0" fontId="15" fillId="0" borderId="5" xfId="5" applyFont="1" applyBorder="1" applyAlignment="1">
      <alignment horizontal="center"/>
    </xf>
    <xf numFmtId="0" fontId="15" fillId="0" borderId="7" xfId="5" applyFont="1" applyBorder="1" applyAlignment="1">
      <alignment horizontal="center"/>
    </xf>
    <xf numFmtId="0" fontId="15" fillId="0" borderId="6" xfId="5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7" fillId="0" borderId="7" xfId="1" applyNumberFormat="1" applyFont="1" applyBorder="1" applyAlignment="1">
      <alignment horizontal="center"/>
    </xf>
    <xf numFmtId="43" fontId="0" fillId="0" borderId="0" xfId="1" applyFont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2">
    <cellStyle name="Comma" xfId="1" builtinId="3"/>
    <cellStyle name="Comma 2" xfId="6" xr:uid="{06B9C77A-709A-4CDA-ACC6-C131909CC3FC}"/>
    <cellStyle name="Comma 2 2" xfId="9" xr:uid="{3A62B6E2-5DA6-46E2-AE43-E3C47F197B54}"/>
    <cellStyle name="Comma 3" xfId="11" xr:uid="{E51B462D-34E6-414C-A996-1754128DB99D}"/>
    <cellStyle name="Currency" xfId="3" builtinId="4"/>
    <cellStyle name="Normal" xfId="0" builtinId="0"/>
    <cellStyle name="Normal 2" xfId="2" xr:uid="{36B4F8CE-0BEE-4A10-8A8E-4FCFA46DFAF0}"/>
    <cellStyle name="Normal 3" xfId="5" xr:uid="{9960AB85-60BD-4D68-B408-8E1B25A2E28B}"/>
    <cellStyle name="Normal 5" xfId="8" xr:uid="{158C119F-D192-440B-9831-D5988D706B26}"/>
    <cellStyle name="Normal 6" xfId="10" xr:uid="{09FAB809-4927-4DF4-9F53-26D4051928F5}"/>
    <cellStyle name="Percent" xfId="4" builtinId="5"/>
    <cellStyle name="Percent 2" xfId="7" xr:uid="{995E532E-CE60-441B-B66D-94BAB3E18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7CCD-A1AD-4487-B7FF-276C83C209FD}">
  <sheetPr>
    <tabColor rgb="FF00B050"/>
    <pageSetUpPr fitToPage="1"/>
  </sheetPr>
  <dimension ref="A1:I38"/>
  <sheetViews>
    <sheetView tabSelected="1" workbookViewId="0">
      <selection activeCell="H16" sqref="H16"/>
    </sheetView>
  </sheetViews>
  <sheetFormatPr defaultRowHeight="15" x14ac:dyDescent="0.25"/>
  <cols>
    <col min="1" max="1" width="34" bestFit="1" customWidth="1"/>
    <col min="2" max="2" width="12.7109375" bestFit="1" customWidth="1"/>
    <col min="3" max="3" width="11.28515625" bestFit="1" customWidth="1"/>
    <col min="8" max="8" width="12.5703125" bestFit="1" customWidth="1"/>
  </cols>
  <sheetData>
    <row r="1" spans="1:8" ht="19.5" thickBot="1" x14ac:dyDescent="0.35">
      <c r="A1" s="215" t="s">
        <v>447</v>
      </c>
      <c r="B1" s="216"/>
      <c r="C1" s="216"/>
      <c r="D1" s="216"/>
      <c r="E1" s="216"/>
      <c r="F1" s="216"/>
      <c r="G1" s="216"/>
      <c r="H1" s="217"/>
    </row>
    <row r="2" spans="1:8" x14ac:dyDescent="0.25">
      <c r="A2" s="121" t="s">
        <v>448</v>
      </c>
      <c r="B2" s="187"/>
      <c r="C2" s="87"/>
      <c r="D2" s="87"/>
      <c r="E2" s="122" t="s">
        <v>449</v>
      </c>
      <c r="F2" s="87"/>
      <c r="G2" s="194"/>
      <c r="H2" s="195"/>
    </row>
    <row r="3" spans="1:8" x14ac:dyDescent="0.25">
      <c r="A3" s="188" t="s">
        <v>450</v>
      </c>
      <c r="B3" s="187">
        <f>-'Development Costs'!F68</f>
        <v>14011392.845389999</v>
      </c>
      <c r="C3" s="194"/>
      <c r="D3" s="87"/>
      <c r="E3" s="124" t="s">
        <v>451</v>
      </c>
      <c r="F3" s="187"/>
      <c r="G3" s="194"/>
      <c r="H3" s="195"/>
    </row>
    <row r="4" spans="1:8" x14ac:dyDescent="0.25">
      <c r="A4" t="s">
        <v>552</v>
      </c>
      <c r="B4" s="187">
        <f>'Development Costs'!H56</f>
        <v>5303937</v>
      </c>
      <c r="C4" s="194"/>
      <c r="D4" s="87"/>
      <c r="E4" s="196" t="s">
        <v>452</v>
      </c>
      <c r="F4" s="187"/>
      <c r="G4" s="194"/>
      <c r="H4" s="125">
        <f>ROUND('Development Costs'!H19-'Development Costs'!N19,0)</f>
        <v>68809946</v>
      </c>
    </row>
    <row r="5" spans="1:8" x14ac:dyDescent="0.25">
      <c r="A5" s="188" t="s">
        <v>516</v>
      </c>
      <c r="B5" s="187">
        <f>'Development Costs'!F71</f>
        <v>120798598.60850999</v>
      </c>
      <c r="C5" s="194"/>
      <c r="D5" s="87"/>
      <c r="E5" s="124" t="s">
        <v>453</v>
      </c>
      <c r="F5" s="187"/>
      <c r="G5" s="194"/>
      <c r="H5" s="125">
        <f>ROUND('Development Costs'!H24,0)</f>
        <v>1654275</v>
      </c>
    </row>
    <row r="6" spans="1:8" x14ac:dyDescent="0.25">
      <c r="A6" s="188"/>
      <c r="B6" s="187"/>
      <c r="C6" s="87"/>
      <c r="D6" s="87"/>
      <c r="E6" s="124" t="s">
        <v>454</v>
      </c>
      <c r="F6" s="87"/>
      <c r="G6" s="194"/>
      <c r="H6" s="197">
        <f>ROUND('Development Costs'!H43-'Development Costs'!N43,0)</f>
        <v>1526901</v>
      </c>
    </row>
    <row r="7" spans="1:8" x14ac:dyDescent="0.25">
      <c r="A7" s="189"/>
      <c r="B7" s="187"/>
      <c r="C7" s="87"/>
      <c r="D7" s="87"/>
      <c r="E7" s="124" t="s">
        <v>455</v>
      </c>
      <c r="F7" s="87"/>
      <c r="G7" s="194"/>
      <c r="H7" s="197">
        <f>ROUND('Development Costs'!H46-'Development Costs'!N46,0)</f>
        <v>8927118</v>
      </c>
    </row>
    <row r="8" spans="1:8" x14ac:dyDescent="0.25">
      <c r="A8" s="189"/>
      <c r="B8" s="187"/>
      <c r="C8" s="87"/>
      <c r="D8" s="87"/>
      <c r="E8" s="124" t="s">
        <v>559</v>
      </c>
      <c r="F8" s="87"/>
      <c r="G8" s="194"/>
      <c r="H8" s="197">
        <f>ROUND('Development Costs'!H59,0)</f>
        <v>3562018</v>
      </c>
    </row>
    <row r="9" spans="1:8" x14ac:dyDescent="0.25">
      <c r="A9" s="189"/>
      <c r="B9" s="187"/>
      <c r="C9" s="87"/>
      <c r="D9" s="87"/>
      <c r="E9" s="124" t="s">
        <v>456</v>
      </c>
      <c r="F9" s="87"/>
      <c r="G9" s="194"/>
      <c r="H9" s="197">
        <f>ROUND('Development Costs'!H56,0)</f>
        <v>5303937</v>
      </c>
    </row>
    <row r="10" spans="1:8" x14ac:dyDescent="0.25">
      <c r="A10" s="189"/>
      <c r="B10" s="187"/>
      <c r="C10" s="87"/>
      <c r="D10" s="87"/>
      <c r="E10" s="124" t="s">
        <v>522</v>
      </c>
      <c r="F10" s="87"/>
      <c r="G10" s="194"/>
      <c r="H10" s="197">
        <f>ROUND('Development Costs'!H57,0)</f>
        <v>600000</v>
      </c>
    </row>
    <row r="11" spans="1:8" x14ac:dyDescent="0.25">
      <c r="A11" s="189"/>
      <c r="B11" s="187"/>
      <c r="C11" s="87"/>
      <c r="D11" s="87"/>
      <c r="E11" s="124" t="s">
        <v>457</v>
      </c>
      <c r="F11" s="87"/>
      <c r="G11" s="194"/>
      <c r="H11" s="197">
        <f>ROUND('Development Costs'!H60,0)</f>
        <v>0</v>
      </c>
    </row>
    <row r="12" spans="1:8" x14ac:dyDescent="0.25">
      <c r="A12" s="189"/>
      <c r="B12" s="187"/>
      <c r="C12" s="87"/>
      <c r="D12" s="87"/>
      <c r="E12" s="124" t="s">
        <v>160</v>
      </c>
      <c r="F12" s="87"/>
      <c r="G12" s="194"/>
      <c r="H12" s="197">
        <f>ROUND('Development Costs'!H61+'Development Costs'!H62,)</f>
        <v>2329010</v>
      </c>
    </row>
    <row r="13" spans="1:8" x14ac:dyDescent="0.25">
      <c r="A13" s="189"/>
      <c r="B13" s="187"/>
      <c r="C13" s="87"/>
      <c r="D13" s="87"/>
      <c r="E13" s="124" t="s">
        <v>458</v>
      </c>
      <c r="F13" s="87"/>
      <c r="G13" s="194"/>
      <c r="H13" s="197">
        <f>ROUND('Development Costs'!H58,0)</f>
        <v>97904</v>
      </c>
    </row>
    <row r="14" spans="1:8" x14ac:dyDescent="0.25">
      <c r="A14" s="189"/>
      <c r="B14" s="187"/>
      <c r="C14" s="87"/>
      <c r="D14" s="87"/>
      <c r="E14" s="124" t="s">
        <v>459</v>
      </c>
      <c r="F14" s="87"/>
      <c r="G14" s="194"/>
      <c r="H14" s="197">
        <f>ROUND('Development Costs'!H53,0)</f>
        <v>20800539</v>
      </c>
    </row>
    <row r="15" spans="1:8" x14ac:dyDescent="0.25">
      <c r="A15" s="189"/>
      <c r="B15" s="187"/>
      <c r="C15" s="87"/>
      <c r="D15" s="194"/>
      <c r="E15" s="124" t="s">
        <v>550</v>
      </c>
      <c r="F15" s="87"/>
      <c r="G15" s="194"/>
      <c r="H15" s="197">
        <f>ROUND('Development Costs'!P66,0)</f>
        <v>26502281</v>
      </c>
    </row>
    <row r="16" spans="1:8" x14ac:dyDescent="0.25">
      <c r="A16" s="189"/>
      <c r="B16" s="190">
        <f>SUM(B3:B15)</f>
        <v>140113928.45389998</v>
      </c>
      <c r="C16" s="87"/>
      <c r="D16" s="194"/>
      <c r="E16" s="124"/>
      <c r="F16" s="87"/>
      <c r="G16" s="194"/>
      <c r="H16" s="198">
        <f>SUM(H4:H15)</f>
        <v>140113929</v>
      </c>
    </row>
    <row r="17" spans="1:9" x14ac:dyDescent="0.25">
      <c r="A17" s="189"/>
      <c r="B17" s="187"/>
      <c r="C17" s="87"/>
      <c r="D17" s="194"/>
      <c r="E17" s="124"/>
      <c r="F17" s="87"/>
      <c r="G17" s="194"/>
      <c r="H17" s="197"/>
    </row>
    <row r="18" spans="1:9" x14ac:dyDescent="0.25">
      <c r="A18" s="188" t="s">
        <v>460</v>
      </c>
      <c r="B18" s="187">
        <f>C36</f>
        <v>49184670.154610001</v>
      </c>
      <c r="C18" s="87"/>
      <c r="D18" s="194"/>
      <c r="E18" s="191" t="s">
        <v>460</v>
      </c>
      <c r="F18" s="87"/>
      <c r="G18" s="194"/>
      <c r="H18" s="197">
        <f>B18</f>
        <v>49184670.154610001</v>
      </c>
    </row>
    <row r="19" spans="1:9" x14ac:dyDescent="0.25">
      <c r="A19" s="189"/>
      <c r="B19" s="187"/>
      <c r="C19" s="87"/>
      <c r="D19" s="124"/>
      <c r="E19" s="187"/>
      <c r="F19" s="87"/>
      <c r="G19" s="194"/>
      <c r="H19" s="195"/>
    </row>
    <row r="20" spans="1:9" ht="15.75" thickBot="1" x14ac:dyDescent="0.3">
      <c r="A20" s="189"/>
      <c r="B20" s="199">
        <f>B16+B18</f>
        <v>189298598.60850999</v>
      </c>
      <c r="C20" s="87"/>
      <c r="D20" s="124"/>
      <c r="E20" s="187"/>
      <c r="F20" s="87"/>
      <c r="G20" s="194"/>
      <c r="H20" s="200">
        <f>H16+H18</f>
        <v>189298599.15461001</v>
      </c>
    </row>
    <row r="21" spans="1:9" ht="15.75" thickBot="1" x14ac:dyDescent="0.3">
      <c r="A21" s="192"/>
      <c r="B21" s="193"/>
      <c r="C21" s="130"/>
      <c r="D21" s="130"/>
      <c r="E21" s="193"/>
      <c r="F21" s="130"/>
      <c r="G21" s="201"/>
      <c r="H21" s="202"/>
    </row>
    <row r="22" spans="1:9" x14ac:dyDescent="0.25">
      <c r="A22" s="128"/>
      <c r="B22" s="128"/>
      <c r="C22" s="132"/>
      <c r="D22" s="132"/>
      <c r="E22" s="128"/>
      <c r="F22" s="132"/>
      <c r="G22" s="54"/>
      <c r="H22" s="54"/>
    </row>
    <row r="23" spans="1:9" x14ac:dyDescent="0.25">
      <c r="A23" s="128"/>
      <c r="B23" s="128"/>
      <c r="C23" s="132"/>
      <c r="D23" s="132"/>
      <c r="E23" s="128"/>
      <c r="F23" s="132"/>
      <c r="G23" s="54"/>
      <c r="H23" s="54"/>
    </row>
    <row r="24" spans="1:9" ht="15.75" thickBot="1" x14ac:dyDescent="0.3">
      <c r="A24" s="133"/>
      <c r="B24" s="133"/>
      <c r="C24" s="134"/>
      <c r="D24" s="134"/>
      <c r="E24" s="133"/>
      <c r="F24" s="134"/>
      <c r="G24" s="54"/>
      <c r="H24" s="54"/>
    </row>
    <row r="25" spans="1:9" ht="15.75" thickBot="1" x14ac:dyDescent="0.3">
      <c r="A25" s="135" t="s">
        <v>461</v>
      </c>
      <c r="B25" s="136"/>
      <c r="C25" s="137"/>
      <c r="D25" s="134"/>
      <c r="E25" s="133"/>
      <c r="F25" s="134"/>
      <c r="G25" s="54"/>
      <c r="H25" s="54"/>
    </row>
    <row r="26" spans="1:9" x14ac:dyDescent="0.25">
      <c r="A26" s="158" t="s">
        <v>462</v>
      </c>
      <c r="B26" s="72"/>
      <c r="C26" s="159"/>
      <c r="E26" s="134" t="s">
        <v>463</v>
      </c>
      <c r="F26" s="134"/>
      <c r="G26" s="54"/>
      <c r="H26" s="54"/>
    </row>
    <row r="27" spans="1:9" x14ac:dyDescent="0.25">
      <c r="A27" s="123" t="s">
        <v>464</v>
      </c>
      <c r="B27" s="54"/>
      <c r="C27" s="126">
        <v>2200000</v>
      </c>
      <c r="E27" s="218" t="s">
        <v>551</v>
      </c>
      <c r="F27" s="218"/>
      <c r="G27" s="218"/>
      <c r="H27" s="218"/>
      <c r="I27" s="218"/>
    </row>
    <row r="28" spans="1:9" x14ac:dyDescent="0.25">
      <c r="A28" s="123" t="s">
        <v>465</v>
      </c>
      <c r="B28" s="54"/>
      <c r="C28" s="138">
        <v>15</v>
      </c>
      <c r="D28" s="134"/>
      <c r="E28" s="218"/>
      <c r="F28" s="218"/>
      <c r="G28" s="218"/>
      <c r="H28" s="218"/>
      <c r="I28" s="218"/>
    </row>
    <row r="29" spans="1:9" x14ac:dyDescent="0.25">
      <c r="A29" s="123"/>
      <c r="B29" s="54"/>
      <c r="C29" s="126">
        <f>C27*C28</f>
        <v>33000000</v>
      </c>
      <c r="D29" s="134"/>
      <c r="E29" s="133"/>
      <c r="F29" s="134"/>
      <c r="G29" s="54"/>
      <c r="H29" s="54"/>
    </row>
    <row r="30" spans="1:9" x14ac:dyDescent="0.25">
      <c r="A30" s="123" t="s">
        <v>466</v>
      </c>
      <c r="B30" s="54"/>
      <c r="C30" s="139">
        <v>0.5</v>
      </c>
      <c r="D30" s="134"/>
      <c r="E30" s="133"/>
      <c r="F30" s="134"/>
      <c r="G30" s="54"/>
      <c r="H30" s="54"/>
    </row>
    <row r="31" spans="1:9" x14ac:dyDescent="0.25">
      <c r="A31" s="123"/>
      <c r="B31" s="54"/>
      <c r="C31" s="127">
        <f>C29*C30</f>
        <v>16500000</v>
      </c>
      <c r="D31" s="134"/>
      <c r="E31" s="133"/>
      <c r="F31" s="134"/>
      <c r="G31" s="54"/>
      <c r="H31" s="54"/>
    </row>
    <row r="32" spans="1:9" x14ac:dyDescent="0.25">
      <c r="A32" s="123" t="s">
        <v>32</v>
      </c>
      <c r="B32" s="54"/>
      <c r="C32" s="126"/>
      <c r="D32" s="134"/>
      <c r="E32" s="133"/>
      <c r="F32" s="134"/>
      <c r="G32" s="54"/>
      <c r="H32" s="54"/>
    </row>
    <row r="33" spans="1:8" ht="30" customHeight="1" x14ac:dyDescent="0.25">
      <c r="A33" s="219" t="s">
        <v>467</v>
      </c>
      <c r="B33" s="220"/>
      <c r="C33" s="160">
        <v>52000000</v>
      </c>
      <c r="D33" s="134"/>
      <c r="E33" s="133"/>
      <c r="F33" s="134"/>
      <c r="G33" s="54"/>
      <c r="H33" s="54"/>
    </row>
    <row r="34" spans="1:8" x14ac:dyDescent="0.25">
      <c r="A34" s="121" t="s">
        <v>468</v>
      </c>
      <c r="B34" s="70"/>
      <c r="C34" s="161">
        <f>C31+C33</f>
        <v>68500000</v>
      </c>
      <c r="D34" s="134"/>
      <c r="E34" s="133"/>
      <c r="F34" s="134"/>
      <c r="G34" s="54"/>
      <c r="H34" s="54"/>
    </row>
    <row r="35" spans="1:8" x14ac:dyDescent="0.25">
      <c r="A35" s="123" t="s">
        <v>515</v>
      </c>
      <c r="B35" s="54"/>
      <c r="C35" s="126">
        <f>B3+B4</f>
        <v>19315329.845389999</v>
      </c>
      <c r="D35" s="134"/>
      <c r="E35" s="133"/>
      <c r="F35" s="134"/>
      <c r="G35" s="54"/>
      <c r="H35" s="54"/>
    </row>
    <row r="36" spans="1:8" ht="15.75" thickBot="1" x14ac:dyDescent="0.3">
      <c r="A36" s="123" t="s">
        <v>461</v>
      </c>
      <c r="B36" s="54"/>
      <c r="C36" s="157">
        <f>C34-C35</f>
        <v>49184670.154610001</v>
      </c>
      <c r="D36" s="134"/>
      <c r="E36" s="133"/>
      <c r="F36" s="134"/>
      <c r="G36" s="54"/>
      <c r="H36" s="54"/>
    </row>
    <row r="37" spans="1:8" x14ac:dyDescent="0.25">
      <c r="A37" s="123"/>
      <c r="B37" s="54"/>
      <c r="C37" s="126"/>
      <c r="D37" s="134"/>
      <c r="E37" s="133"/>
      <c r="F37" s="134"/>
      <c r="G37" s="54"/>
      <c r="H37" s="54"/>
    </row>
    <row r="38" spans="1:8" ht="15.75" thickBot="1" x14ac:dyDescent="0.3">
      <c r="A38" s="129"/>
      <c r="B38" s="131"/>
      <c r="C38" s="140"/>
      <c r="D38" s="134"/>
      <c r="E38" s="133"/>
      <c r="F38" s="134"/>
      <c r="G38" s="54"/>
      <c r="H38" s="54"/>
    </row>
  </sheetData>
  <mergeCells count="3">
    <mergeCell ref="A1:H1"/>
    <mergeCell ref="E27:I28"/>
    <mergeCell ref="A33:B33"/>
  </mergeCells>
  <pageMargins left="0.7" right="0.26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FCD8-1617-4CF9-B3FA-2EE3FCC48CE6}">
  <sheetPr>
    <tabColor rgb="FF00B050"/>
    <pageSetUpPr fitToPage="1"/>
  </sheetPr>
  <dimension ref="A1:AY79"/>
  <sheetViews>
    <sheetView zoomScaleNormal="100" workbookViewId="0">
      <pane xSplit="8" ySplit="6" topLeftCell="I40" activePane="bottomRight" state="frozen"/>
      <selection pane="topRight" activeCell="I1" sqref="I1"/>
      <selection pane="bottomLeft" activeCell="A7" sqref="A7"/>
      <selection pane="bottomRight" activeCell="G78" sqref="G78"/>
    </sheetView>
  </sheetViews>
  <sheetFormatPr defaultColWidth="9.140625" defaultRowHeight="15" x14ac:dyDescent="0.25"/>
  <cols>
    <col min="1" max="1" width="27.5703125" style="55" customWidth="1"/>
    <col min="2" max="2" width="12.85546875" style="55" bestFit="1" customWidth="1"/>
    <col min="3" max="3" width="14" style="112" bestFit="1" customWidth="1"/>
    <col min="4" max="4" width="13" style="112" bestFit="1" customWidth="1"/>
    <col min="5" max="5" width="2.7109375" style="55" customWidth="1"/>
    <col min="6" max="6" width="14" style="112" bestFit="1" customWidth="1"/>
    <col min="7" max="7" width="12.7109375" style="54" bestFit="1" customWidth="1"/>
    <col min="8" max="8" width="12.5703125" style="54" customWidth="1"/>
    <col min="9" max="9" width="2.5703125" style="54" customWidth="1"/>
    <col min="10" max="11" width="13.7109375" style="54" bestFit="1" customWidth="1"/>
    <col min="12" max="12" width="11.5703125" style="54" bestFit="1" customWidth="1"/>
    <col min="13" max="13" width="1.42578125" style="54" customWidth="1"/>
    <col min="14" max="14" width="11.5703125" style="54" customWidth="1"/>
    <col min="15" max="15" width="3.28515625" style="54" customWidth="1"/>
    <col min="16" max="16" width="11.85546875" style="54" bestFit="1" customWidth="1"/>
    <col min="17" max="17" width="11.5703125" style="54" customWidth="1"/>
    <col min="18" max="19" width="11.5703125" style="54" bestFit="1" customWidth="1"/>
    <col min="20" max="20" width="12.7109375" style="54" bestFit="1" customWidth="1"/>
    <col min="21" max="24" width="11.5703125" style="54" bestFit="1" customWidth="1"/>
    <col min="25" max="25" width="12" style="54" customWidth="1"/>
    <col min="26" max="27" width="10.7109375" style="54" bestFit="1" customWidth="1"/>
    <col min="28" max="28" width="11.5703125" style="54" bestFit="1" customWidth="1"/>
    <col min="29" max="35" width="10.7109375" style="54" bestFit="1" customWidth="1"/>
    <col min="36" max="36" width="11.5703125" style="54" bestFit="1" customWidth="1"/>
    <col min="37" max="37" width="10.7109375" style="54" bestFit="1" customWidth="1"/>
    <col min="38" max="43" width="10.7109375" style="54" hidden="1" customWidth="1"/>
    <col min="44" max="48" width="9.28515625" style="54" hidden="1" customWidth="1"/>
    <col min="49" max="49" width="10.7109375" style="54" hidden="1" customWidth="1"/>
    <col min="50" max="50" width="2.7109375" style="54" customWidth="1"/>
    <col min="51" max="51" width="11.85546875" style="54" bestFit="1" customWidth="1"/>
    <col min="52" max="16384" width="9.140625" style="54"/>
  </cols>
  <sheetData>
    <row r="1" spans="1:51" x14ac:dyDescent="0.25">
      <c r="A1" s="54" t="s">
        <v>289</v>
      </c>
      <c r="B1" s="54"/>
    </row>
    <row r="2" spans="1:51" x14ac:dyDescent="0.25">
      <c r="A2" s="54" t="s">
        <v>442</v>
      </c>
      <c r="B2" s="54"/>
    </row>
    <row r="3" spans="1:51" x14ac:dyDescent="0.25">
      <c r="A3" s="54" t="s">
        <v>288</v>
      </c>
      <c r="B3" s="54"/>
    </row>
    <row r="4" spans="1:51" ht="15.75" thickBot="1" x14ac:dyDescent="0.3">
      <c r="A4" s="177"/>
      <c r="B4" s="54"/>
      <c r="J4" s="70" t="s">
        <v>529</v>
      </c>
    </row>
    <row r="5" spans="1:51" ht="15.75" thickBot="1" x14ac:dyDescent="0.3">
      <c r="A5" s="54"/>
      <c r="B5" s="54"/>
      <c r="J5" s="221" t="s">
        <v>548</v>
      </c>
      <c r="K5" s="223"/>
      <c r="L5" s="223"/>
      <c r="M5" s="223"/>
      <c r="N5" s="222"/>
      <c r="O5" s="72"/>
      <c r="P5" s="221" t="s">
        <v>530</v>
      </c>
      <c r="Q5" s="22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89"/>
    </row>
    <row r="6" spans="1:51" s="66" customFormat="1" ht="27" thickBot="1" x14ac:dyDescent="0.3">
      <c r="C6" s="119" t="s">
        <v>287</v>
      </c>
      <c r="D6" s="120" t="s">
        <v>286</v>
      </c>
      <c r="E6" s="68"/>
      <c r="F6" s="113" t="s">
        <v>285</v>
      </c>
      <c r="G6" s="67" t="s">
        <v>549</v>
      </c>
      <c r="H6" s="67" t="s">
        <v>284</v>
      </c>
      <c r="I6" s="67"/>
      <c r="J6" s="178">
        <v>45383</v>
      </c>
      <c r="K6" s="90">
        <v>45413</v>
      </c>
      <c r="L6" s="90">
        <v>45444</v>
      </c>
      <c r="M6" s="90"/>
      <c r="N6" s="90" t="s">
        <v>422</v>
      </c>
      <c r="O6" s="90"/>
      <c r="P6" s="173" t="s">
        <v>411</v>
      </c>
      <c r="Q6" s="173" t="s">
        <v>412</v>
      </c>
      <c r="R6" s="90">
        <v>45505</v>
      </c>
      <c r="S6" s="90">
        <v>45536</v>
      </c>
      <c r="T6" s="90">
        <v>45566</v>
      </c>
      <c r="U6" s="90">
        <v>45597</v>
      </c>
      <c r="V6" s="90">
        <v>45627</v>
      </c>
      <c r="W6" s="90">
        <v>45658</v>
      </c>
      <c r="X6" s="90">
        <v>45689</v>
      </c>
      <c r="Y6" s="90">
        <v>45717</v>
      </c>
      <c r="Z6" s="90">
        <v>45748</v>
      </c>
      <c r="AA6" s="90">
        <v>45778</v>
      </c>
      <c r="AB6" s="90">
        <v>45809</v>
      </c>
      <c r="AC6" s="90">
        <v>45839</v>
      </c>
      <c r="AD6" s="90">
        <v>45870</v>
      </c>
      <c r="AE6" s="90">
        <v>45901</v>
      </c>
      <c r="AF6" s="90">
        <v>45931</v>
      </c>
      <c r="AG6" s="90">
        <v>45962</v>
      </c>
      <c r="AH6" s="90">
        <v>45992</v>
      </c>
      <c r="AI6" s="90">
        <v>46023</v>
      </c>
      <c r="AJ6" s="90">
        <v>46054</v>
      </c>
      <c r="AK6" s="90">
        <v>46082</v>
      </c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1"/>
    </row>
    <row r="7" spans="1:51" x14ac:dyDescent="0.25">
      <c r="A7" s="54" t="s">
        <v>283</v>
      </c>
      <c r="B7" s="54"/>
      <c r="J7" s="179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3"/>
    </row>
    <row r="8" spans="1:51" x14ac:dyDescent="0.25">
      <c r="A8" s="54" t="s">
        <v>282</v>
      </c>
      <c r="B8" s="54"/>
      <c r="C8" s="112">
        <f>'GC Project Costs Detail'!C40+'GC Project Costs Detail'!C56+'GC Project Costs Detail'!C57+'GC Project Costs Detail'!C59+'GC Project Costs Detail'!C62</f>
        <v>10929969.75</v>
      </c>
      <c r="F8" s="112">
        <f>SUM(C8:E8)</f>
        <v>10929969.75</v>
      </c>
      <c r="H8" s="58"/>
      <c r="I8" s="58"/>
      <c r="J8" s="179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3"/>
      <c r="AY8" s="58"/>
    </row>
    <row r="9" spans="1:51" x14ac:dyDescent="0.25">
      <c r="A9" s="54" t="s">
        <v>281</v>
      </c>
      <c r="B9" s="84"/>
      <c r="J9" s="179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3"/>
      <c r="AY9" s="58"/>
    </row>
    <row r="10" spans="1:51" x14ac:dyDescent="0.25">
      <c r="A10" s="54" t="s">
        <v>280</v>
      </c>
      <c r="B10" s="54"/>
      <c r="C10" s="86">
        <f>SUM(C7:C9)</f>
        <v>10929969.75</v>
      </c>
      <c r="D10" s="86">
        <f>SUM(D7:D9)</f>
        <v>0</v>
      </c>
      <c r="F10" s="86">
        <f>SUM(F7:F9)</f>
        <v>10929969.75</v>
      </c>
      <c r="H10" s="59"/>
      <c r="I10" s="59"/>
      <c r="J10" s="179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3"/>
      <c r="AY10" s="58"/>
    </row>
    <row r="11" spans="1:51" x14ac:dyDescent="0.25">
      <c r="A11" s="54"/>
      <c r="B11" s="54"/>
      <c r="J11" s="179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3"/>
      <c r="AY11" s="58"/>
    </row>
    <row r="12" spans="1:51" x14ac:dyDescent="0.25">
      <c r="A12" s="54" t="s">
        <v>279</v>
      </c>
      <c r="B12" s="54"/>
      <c r="J12" s="179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3"/>
      <c r="AY12" s="58"/>
    </row>
    <row r="13" spans="1:51" x14ac:dyDescent="0.25">
      <c r="A13" s="54" t="s">
        <v>278</v>
      </c>
      <c r="B13" s="54"/>
      <c r="C13" s="112">
        <f>'GC Project Costs Detail'!C6</f>
        <v>8743779</v>
      </c>
      <c r="F13" s="112">
        <f>SUM(C13:E13)</f>
        <v>8743779</v>
      </c>
      <c r="H13" s="58"/>
      <c r="I13" s="58"/>
      <c r="J13" s="179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3"/>
      <c r="AY13" s="58"/>
    </row>
    <row r="14" spans="1:51" x14ac:dyDescent="0.25">
      <c r="A14" s="54" t="s">
        <v>277</v>
      </c>
      <c r="B14" s="54"/>
      <c r="C14" s="112">
        <f>SUM('GC Project Costs Detail'!C7:C35)</f>
        <v>54782424</v>
      </c>
      <c r="F14" s="112">
        <f>SUM(C14:E14)</f>
        <v>54782424</v>
      </c>
      <c r="H14" s="58"/>
      <c r="I14" s="58"/>
      <c r="J14" s="179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3"/>
      <c r="AY14" s="58"/>
    </row>
    <row r="15" spans="1:51" x14ac:dyDescent="0.25">
      <c r="A15" s="54" t="s">
        <v>276</v>
      </c>
      <c r="B15" s="54"/>
      <c r="C15" s="112">
        <f>'GC Project Costs Detail'!C53-'GC Project Costs Detail'!C52</f>
        <v>7757614</v>
      </c>
      <c r="F15" s="112">
        <f>SUM(C15:E15)</f>
        <v>7757614</v>
      </c>
      <c r="H15" s="58"/>
      <c r="I15" s="58"/>
      <c r="J15" s="179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3"/>
      <c r="AY15" s="58"/>
    </row>
    <row r="16" spans="1:51" x14ac:dyDescent="0.25">
      <c r="A16" s="54" t="s">
        <v>275</v>
      </c>
      <c r="B16" s="65">
        <f>C16/(C8+C13+C14+C15)</f>
        <v>6.0817050249786725E-3</v>
      </c>
      <c r="C16" s="112">
        <f>'GC Project Costs Detail'!C52</f>
        <v>500000</v>
      </c>
      <c r="D16" s="87"/>
      <c r="F16" s="112">
        <f>SUM(C16:E16)</f>
        <v>500000</v>
      </c>
      <c r="J16" s="179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3"/>
      <c r="AY16" s="58"/>
    </row>
    <row r="17" spans="1:51" x14ac:dyDescent="0.25">
      <c r="A17" s="54"/>
      <c r="B17" s="54"/>
      <c r="D17" s="116"/>
      <c r="J17" s="179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3"/>
      <c r="AY17" s="58"/>
    </row>
    <row r="18" spans="1:51" x14ac:dyDescent="0.25">
      <c r="A18" s="54" t="s">
        <v>274</v>
      </c>
      <c r="B18" s="54"/>
      <c r="C18" s="86">
        <f>SUM(C12:C17)</f>
        <v>71783817</v>
      </c>
      <c r="D18" s="86">
        <f>SUM(D12:D17)</f>
        <v>0</v>
      </c>
      <c r="F18" s="114">
        <f>SUM(F12:F17)</f>
        <v>71783817</v>
      </c>
      <c r="J18" s="179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3"/>
      <c r="AY18" s="58"/>
    </row>
    <row r="19" spans="1:51" x14ac:dyDescent="0.25">
      <c r="A19" s="54" t="s">
        <v>273</v>
      </c>
      <c r="B19" s="54"/>
      <c r="C19" s="86">
        <f>C10+C18</f>
        <v>82713786.75</v>
      </c>
      <c r="D19" s="86">
        <f>D10+D18</f>
        <v>0</v>
      </c>
      <c r="F19" s="86">
        <f>F10+F18</f>
        <v>82713786.75</v>
      </c>
      <c r="G19" s="61">
        <f>GC!C33</f>
        <v>13903841.159999996</v>
      </c>
      <c r="H19" s="162">
        <f>F19-G19</f>
        <v>68809945.590000004</v>
      </c>
      <c r="I19" s="58"/>
      <c r="J19" s="180">
        <v>0</v>
      </c>
      <c r="K19" s="88"/>
      <c r="L19" s="88">
        <v>0</v>
      </c>
      <c r="M19" s="92"/>
      <c r="N19" s="88">
        <f>SUM(J19:M19)</f>
        <v>0</v>
      </c>
      <c r="O19" s="92"/>
      <c r="P19" s="88">
        <f>G19+N19</f>
        <v>13903841.159999996</v>
      </c>
      <c r="Q19" s="88">
        <f>5328928-K19</f>
        <v>5328928</v>
      </c>
      <c r="R19" s="88">
        <v>0</v>
      </c>
      <c r="S19" s="88">
        <v>0</v>
      </c>
      <c r="T19" s="88">
        <f>5268175</f>
        <v>5268175</v>
      </c>
      <c r="U19" s="88">
        <v>5294426</v>
      </c>
      <c r="V19" s="88">
        <v>4284844</v>
      </c>
      <c r="W19" s="88">
        <v>3743250</v>
      </c>
      <c r="X19" s="88">
        <v>6036555</v>
      </c>
      <c r="Y19" s="88">
        <v>8965819</v>
      </c>
      <c r="Z19" s="88">
        <v>6092348</v>
      </c>
      <c r="AA19" s="88">
        <v>3944528</v>
      </c>
      <c r="AB19" s="88">
        <v>7392339</v>
      </c>
      <c r="AC19" s="88">
        <v>4932110</v>
      </c>
      <c r="AD19" s="88">
        <v>4314542</v>
      </c>
      <c r="AE19" s="88">
        <v>2515395</v>
      </c>
      <c r="AF19" s="88">
        <f>694871+1816</f>
        <v>696687</v>
      </c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3"/>
      <c r="AY19" s="58">
        <f>F19-SUM(P19:AX19)</f>
        <v>-0.40999999642372131</v>
      </c>
    </row>
    <row r="20" spans="1:51" x14ac:dyDescent="0.25">
      <c r="A20" s="54"/>
      <c r="B20" s="54"/>
      <c r="C20" s="87"/>
      <c r="D20" s="87"/>
      <c r="F20" s="87"/>
      <c r="J20" s="179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3"/>
    </row>
    <row r="21" spans="1:51" x14ac:dyDescent="0.25">
      <c r="A21" s="54" t="s">
        <v>261</v>
      </c>
      <c r="B21" s="63"/>
      <c r="D21" s="87"/>
      <c r="F21" s="112">
        <f>SUM(C21:E21)</f>
        <v>0</v>
      </c>
      <c r="H21" s="58">
        <f>F21-G21</f>
        <v>0</v>
      </c>
      <c r="I21" s="58"/>
      <c r="J21" s="179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3"/>
    </row>
    <row r="22" spans="1:51" x14ac:dyDescent="0.25">
      <c r="A22" s="54" t="s">
        <v>281</v>
      </c>
      <c r="B22" s="63">
        <v>0.02</v>
      </c>
      <c r="C22" s="112">
        <f>ROUND(C10*B22,0)</f>
        <v>218599</v>
      </c>
      <c r="D22" s="87"/>
      <c r="E22" s="112"/>
      <c r="F22" s="112">
        <f t="shared" ref="F22:F23" si="0">SUM(C22:E22)</f>
        <v>218599</v>
      </c>
      <c r="H22" s="58">
        <f t="shared" ref="H22:H23" si="1">F22-G22</f>
        <v>218599</v>
      </c>
      <c r="I22" s="58"/>
      <c r="J22" s="179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3"/>
    </row>
    <row r="23" spans="1:51" x14ac:dyDescent="0.25">
      <c r="A23" s="54" t="s">
        <v>275</v>
      </c>
      <c r="B23" s="63">
        <v>0.02</v>
      </c>
      <c r="C23" s="112">
        <f>ROUND(C18*B23,0)</f>
        <v>1435676</v>
      </c>
      <c r="D23" s="87"/>
      <c r="E23" s="112"/>
      <c r="F23" s="112">
        <f t="shared" si="0"/>
        <v>1435676</v>
      </c>
      <c r="H23" s="58">
        <f t="shared" si="1"/>
        <v>1435676</v>
      </c>
      <c r="I23" s="58"/>
      <c r="J23" s="179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3"/>
      <c r="AY23" s="58"/>
    </row>
    <row r="24" spans="1:51" x14ac:dyDescent="0.25">
      <c r="A24" s="54"/>
      <c r="B24" s="63"/>
      <c r="C24" s="86">
        <f>SUM(C22:C23)</f>
        <v>1654275</v>
      </c>
      <c r="D24" s="86">
        <f>SUM(D22:D23)</f>
        <v>0</v>
      </c>
      <c r="F24" s="61">
        <f>SUM(F22:F23)</f>
        <v>1654275</v>
      </c>
      <c r="G24" s="61">
        <f>SUM(G22:G23)</f>
        <v>0</v>
      </c>
      <c r="H24" s="61">
        <f>SUM(H22:H23)</f>
        <v>1654275</v>
      </c>
      <c r="I24" s="59"/>
      <c r="J24" s="180">
        <f t="shared" ref="J24:AD24" si="2">SUM(J22:J23)</f>
        <v>0</v>
      </c>
      <c r="K24" s="88">
        <f t="shared" si="2"/>
        <v>0</v>
      </c>
      <c r="L24" s="88">
        <f t="shared" si="2"/>
        <v>0</v>
      </c>
      <c r="M24" s="92"/>
      <c r="N24" s="88">
        <f>SUM(J24:M24)</f>
        <v>0</v>
      </c>
      <c r="O24" s="92"/>
      <c r="P24" s="88">
        <f>G24+N24</f>
        <v>0</v>
      </c>
      <c r="Q24" s="88"/>
      <c r="R24" s="88">
        <f t="shared" si="2"/>
        <v>0</v>
      </c>
      <c r="S24" s="88">
        <f t="shared" si="2"/>
        <v>0</v>
      </c>
      <c r="T24" s="88">
        <f t="shared" si="2"/>
        <v>0</v>
      </c>
      <c r="U24" s="88">
        <f t="shared" si="2"/>
        <v>0</v>
      </c>
      <c r="V24" s="88">
        <f t="shared" si="2"/>
        <v>0</v>
      </c>
      <c r="W24" s="88">
        <f t="shared" si="2"/>
        <v>0</v>
      </c>
      <c r="X24" s="88">
        <f t="shared" si="2"/>
        <v>0</v>
      </c>
      <c r="Y24" s="88">
        <f t="shared" si="2"/>
        <v>0</v>
      </c>
      <c r="Z24" s="88">
        <f t="shared" si="2"/>
        <v>0</v>
      </c>
      <c r="AA24" s="88"/>
      <c r="AB24" s="88">
        <f t="shared" si="2"/>
        <v>0</v>
      </c>
      <c r="AC24" s="88">
        <f t="shared" si="2"/>
        <v>0</v>
      </c>
      <c r="AD24" s="88">
        <f t="shared" si="2"/>
        <v>0</v>
      </c>
      <c r="AE24" s="88">
        <f>H24</f>
        <v>1654275</v>
      </c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3"/>
      <c r="AY24" s="58">
        <f>F24-SUM(P24:AX24)</f>
        <v>0</v>
      </c>
    </row>
    <row r="25" spans="1:51" x14ac:dyDescent="0.25">
      <c r="A25" s="54"/>
      <c r="B25" s="63"/>
      <c r="D25" s="87"/>
      <c r="H25" s="58"/>
      <c r="I25" s="58"/>
      <c r="J25" s="179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3"/>
    </row>
    <row r="26" spans="1:51" x14ac:dyDescent="0.25">
      <c r="A26" s="54" t="s">
        <v>272</v>
      </c>
      <c r="B26" s="54"/>
      <c r="G26" s="58"/>
      <c r="H26" s="58"/>
      <c r="I26" s="58"/>
      <c r="J26" s="179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3"/>
    </row>
    <row r="27" spans="1:51" x14ac:dyDescent="0.25">
      <c r="A27" s="54" t="s">
        <v>271</v>
      </c>
      <c r="B27" s="54"/>
      <c r="C27" s="112">
        <v>0</v>
      </c>
      <c r="D27" s="112">
        <f>'11. 805 Improve'!N47</f>
        <v>696743.29999999993</v>
      </c>
      <c r="F27" s="112">
        <f t="shared" ref="F27:F41" si="3">SUM(C27:E27)</f>
        <v>696743.29999999993</v>
      </c>
      <c r="G27" s="58">
        <f>'11. 805 Improve'!E47</f>
        <v>485369.22</v>
      </c>
      <c r="H27" s="58">
        <f t="shared" ref="H27:H41" si="4">F27-G27</f>
        <v>211374.07999999996</v>
      </c>
      <c r="I27" s="58"/>
      <c r="J27" s="179">
        <f>'11. 805 Improve'!H47</f>
        <v>0</v>
      </c>
      <c r="K27" s="92">
        <f>'11. 805 Improve'!I47</f>
        <v>49829.08</v>
      </c>
      <c r="L27" s="92">
        <f>'11. 805 Improve'!J47</f>
        <v>25000</v>
      </c>
      <c r="M27" s="92"/>
      <c r="N27" s="92">
        <f>SUM(J27:M27)</f>
        <v>74829.08</v>
      </c>
      <c r="O27" s="92"/>
      <c r="P27" s="58">
        <f>G27+N27</f>
        <v>560198.29999999993</v>
      </c>
      <c r="Q27" s="92">
        <f>'11. 805 Improve'!K47</f>
        <v>0</v>
      </c>
      <c r="R27" s="92">
        <f>'11. 805 Improve'!L47</f>
        <v>136545</v>
      </c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3"/>
      <c r="AY27" s="58">
        <f>F27-SUM(P27:AX27)</f>
        <v>0</v>
      </c>
    </row>
    <row r="28" spans="1:51" x14ac:dyDescent="0.25">
      <c r="A28" s="54" t="s">
        <v>270</v>
      </c>
      <c r="B28" s="54"/>
      <c r="C28" s="112">
        <f>'2. ILM  Property'!E51+SUM('2. ILM  Property'!F51:H51)</f>
        <v>257960.17000000004</v>
      </c>
      <c r="D28" s="112">
        <f>'13. 805 Surveys'!E20</f>
        <v>20717.5</v>
      </c>
      <c r="F28" s="112">
        <f t="shared" si="3"/>
        <v>278677.67000000004</v>
      </c>
      <c r="G28" s="58">
        <f>'2. ILM  Property'!E51+'13. 805 Surveys'!E20</f>
        <v>278677.67000000004</v>
      </c>
      <c r="H28" s="58">
        <f t="shared" si="4"/>
        <v>0</v>
      </c>
      <c r="I28" s="58"/>
      <c r="J28" s="179"/>
      <c r="K28" s="92"/>
      <c r="L28" s="92"/>
      <c r="M28" s="92"/>
      <c r="N28" s="92">
        <f t="shared" ref="N28:N41" si="5">SUM(J28:M28)</f>
        <v>0</v>
      </c>
      <c r="O28" s="92"/>
      <c r="P28" s="58">
        <f t="shared" ref="P28:P41" si="6">G28+N28</f>
        <v>278677.67000000004</v>
      </c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3"/>
      <c r="AY28" s="58">
        <f t="shared" ref="AY28:AY41" si="7">F28-SUM(P28:AX28)</f>
        <v>0</v>
      </c>
    </row>
    <row r="29" spans="1:51" x14ac:dyDescent="0.25">
      <c r="A29" s="54" t="s">
        <v>269</v>
      </c>
      <c r="B29" s="54"/>
      <c r="C29" s="112">
        <v>350000</v>
      </c>
      <c r="F29" s="112">
        <f t="shared" si="3"/>
        <v>350000</v>
      </c>
      <c r="G29" s="58"/>
      <c r="H29" s="58">
        <f t="shared" si="4"/>
        <v>350000</v>
      </c>
      <c r="I29" s="58"/>
      <c r="J29" s="179"/>
      <c r="K29" s="92"/>
      <c r="L29" s="92"/>
      <c r="M29" s="92"/>
      <c r="N29" s="92">
        <f t="shared" si="5"/>
        <v>0</v>
      </c>
      <c r="O29" s="92"/>
      <c r="P29" s="58">
        <f t="shared" si="6"/>
        <v>0</v>
      </c>
      <c r="Q29" s="92"/>
      <c r="R29" s="92">
        <v>25000</v>
      </c>
      <c r="S29" s="92">
        <v>25000</v>
      </c>
      <c r="T29" s="92">
        <v>25000</v>
      </c>
      <c r="U29" s="92">
        <v>25000</v>
      </c>
      <c r="V29" s="92">
        <v>25000</v>
      </c>
      <c r="W29" s="92">
        <v>25000</v>
      </c>
      <c r="X29" s="92">
        <v>25000</v>
      </c>
      <c r="Y29" s="92">
        <v>25000</v>
      </c>
      <c r="Z29" s="92">
        <v>25000</v>
      </c>
      <c r="AA29" s="92">
        <v>25000</v>
      </c>
      <c r="AB29" s="92">
        <v>25000</v>
      </c>
      <c r="AC29" s="92">
        <v>25000</v>
      </c>
      <c r="AD29" s="92">
        <v>25000</v>
      </c>
      <c r="AE29" s="92">
        <v>25000</v>
      </c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3"/>
      <c r="AY29" s="58">
        <f t="shared" si="7"/>
        <v>0</v>
      </c>
    </row>
    <row r="30" spans="1:51" x14ac:dyDescent="0.25">
      <c r="A30" s="54" t="s">
        <v>445</v>
      </c>
      <c r="B30" s="54"/>
      <c r="C30" s="112">
        <v>265000</v>
      </c>
      <c r="F30" s="112">
        <f t="shared" si="3"/>
        <v>265000</v>
      </c>
      <c r="G30" s="58"/>
      <c r="H30" s="58">
        <f t="shared" si="4"/>
        <v>265000</v>
      </c>
      <c r="I30" s="58"/>
      <c r="J30" s="179"/>
      <c r="K30" s="92"/>
      <c r="L30" s="92"/>
      <c r="M30" s="92"/>
      <c r="N30" s="92">
        <f t="shared" si="5"/>
        <v>0</v>
      </c>
      <c r="O30" s="92"/>
      <c r="P30" s="58">
        <f t="shared" si="6"/>
        <v>0</v>
      </c>
      <c r="Q30" s="92"/>
      <c r="R30" s="92">
        <v>10000</v>
      </c>
      <c r="S30" s="92">
        <v>15000</v>
      </c>
      <c r="T30" s="92">
        <v>20000</v>
      </c>
      <c r="U30" s="92">
        <v>20000</v>
      </c>
      <c r="V30" s="92">
        <v>25000</v>
      </c>
      <c r="W30" s="92">
        <v>25000</v>
      </c>
      <c r="X30" s="92">
        <v>25000</v>
      </c>
      <c r="Y30" s="92">
        <v>25000</v>
      </c>
      <c r="Z30" s="92">
        <v>25000</v>
      </c>
      <c r="AA30" s="92">
        <v>25000</v>
      </c>
      <c r="AB30" s="92">
        <v>25000</v>
      </c>
      <c r="AC30" s="92">
        <v>15000</v>
      </c>
      <c r="AD30" s="92">
        <v>10000</v>
      </c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3"/>
      <c r="AY30" s="58">
        <f t="shared" si="7"/>
        <v>0</v>
      </c>
    </row>
    <row r="31" spans="1:51" x14ac:dyDescent="0.25">
      <c r="A31" s="54" t="s">
        <v>446</v>
      </c>
      <c r="B31" s="54"/>
      <c r="C31" s="112">
        <v>100000</v>
      </c>
      <c r="F31" s="112">
        <f t="shared" si="3"/>
        <v>100000</v>
      </c>
      <c r="G31" s="58"/>
      <c r="H31" s="58">
        <f t="shared" si="4"/>
        <v>100000</v>
      </c>
      <c r="I31" s="58"/>
      <c r="J31" s="179"/>
      <c r="K31" s="92"/>
      <c r="L31" s="92"/>
      <c r="M31" s="92"/>
      <c r="N31" s="92">
        <f t="shared" si="5"/>
        <v>0</v>
      </c>
      <c r="O31" s="92"/>
      <c r="P31" s="58">
        <f t="shared" si="6"/>
        <v>0</v>
      </c>
      <c r="Q31" s="92"/>
      <c r="R31" s="92"/>
      <c r="S31" s="92"/>
      <c r="T31" s="92"/>
      <c r="U31" s="92">
        <v>25000</v>
      </c>
      <c r="V31" s="92"/>
      <c r="W31" s="92"/>
      <c r="X31" s="92">
        <v>15000</v>
      </c>
      <c r="Y31" s="92">
        <v>15000</v>
      </c>
      <c r="Z31" s="92">
        <v>15000</v>
      </c>
      <c r="AA31" s="92">
        <v>15000</v>
      </c>
      <c r="AB31" s="92">
        <v>15000</v>
      </c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3"/>
      <c r="AY31" s="58">
        <f t="shared" si="7"/>
        <v>0</v>
      </c>
    </row>
    <row r="32" spans="1:51" x14ac:dyDescent="0.25">
      <c r="A32" s="54" t="s">
        <v>426</v>
      </c>
      <c r="B32" s="54"/>
      <c r="C32" s="112">
        <v>120000</v>
      </c>
      <c r="F32" s="112">
        <f t="shared" si="3"/>
        <v>120000</v>
      </c>
      <c r="G32" s="58"/>
      <c r="H32" s="58">
        <f t="shared" si="4"/>
        <v>120000</v>
      </c>
      <c r="I32" s="58"/>
      <c r="J32" s="179"/>
      <c r="K32" s="92"/>
      <c r="L32" s="92"/>
      <c r="M32" s="92"/>
      <c r="N32" s="92">
        <f t="shared" si="5"/>
        <v>0</v>
      </c>
      <c r="O32" s="92"/>
      <c r="P32" s="58">
        <f t="shared" si="6"/>
        <v>0</v>
      </c>
      <c r="Q32" s="92"/>
      <c r="R32" s="92">
        <v>10000</v>
      </c>
      <c r="S32" s="92">
        <v>10000</v>
      </c>
      <c r="T32" s="92">
        <v>10000</v>
      </c>
      <c r="U32" s="92">
        <v>10000</v>
      </c>
      <c r="V32" s="92">
        <v>10000</v>
      </c>
      <c r="W32" s="92">
        <v>10000</v>
      </c>
      <c r="X32" s="92">
        <v>10000</v>
      </c>
      <c r="Y32" s="92">
        <v>10000</v>
      </c>
      <c r="Z32" s="92">
        <v>10000</v>
      </c>
      <c r="AA32" s="92">
        <v>10000</v>
      </c>
      <c r="AB32" s="92">
        <v>10000</v>
      </c>
      <c r="AC32" s="92">
        <v>10000</v>
      </c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3"/>
      <c r="AY32" s="58">
        <f t="shared" si="7"/>
        <v>0</v>
      </c>
    </row>
    <row r="33" spans="1:51" x14ac:dyDescent="0.25">
      <c r="A33" s="54" t="s">
        <v>427</v>
      </c>
      <c r="B33" s="54"/>
      <c r="F33" s="112">
        <f t="shared" si="3"/>
        <v>0</v>
      </c>
      <c r="G33" s="58"/>
      <c r="H33" s="58">
        <f t="shared" si="4"/>
        <v>0</v>
      </c>
      <c r="I33" s="58"/>
      <c r="J33" s="179"/>
      <c r="K33" s="92"/>
      <c r="L33" s="92"/>
      <c r="M33" s="92"/>
      <c r="N33" s="92">
        <f t="shared" si="5"/>
        <v>0</v>
      </c>
      <c r="O33" s="92"/>
      <c r="P33" s="58">
        <f t="shared" si="6"/>
        <v>0</v>
      </c>
      <c r="Q33" s="92"/>
      <c r="R33" s="92">
        <f>IF(J33&gt;0,8000,0)</f>
        <v>0</v>
      </c>
      <c r="S33" s="92">
        <f>IF(K33&gt;0,8000,0)</f>
        <v>0</v>
      </c>
      <c r="T33" s="92">
        <f>IF(L33&gt;0,8000,0)</f>
        <v>0</v>
      </c>
      <c r="U33" s="92">
        <f>IF(P33&gt;0,8000,0)</f>
        <v>0</v>
      </c>
      <c r="V33" s="92">
        <f t="shared" ref="V33:AQ33" si="8">IF(R33&gt;0,8000,0)</f>
        <v>0</v>
      </c>
      <c r="W33" s="92">
        <f t="shared" si="8"/>
        <v>0</v>
      </c>
      <c r="X33" s="92">
        <f t="shared" si="8"/>
        <v>0</v>
      </c>
      <c r="Y33" s="92">
        <f t="shared" si="8"/>
        <v>0</v>
      </c>
      <c r="Z33" s="92">
        <f t="shared" si="8"/>
        <v>0</v>
      </c>
      <c r="AA33" s="92">
        <f t="shared" si="8"/>
        <v>0</v>
      </c>
      <c r="AB33" s="92">
        <f t="shared" si="8"/>
        <v>0</v>
      </c>
      <c r="AC33" s="92">
        <f t="shared" si="8"/>
        <v>0</v>
      </c>
      <c r="AD33" s="92">
        <f t="shared" si="8"/>
        <v>0</v>
      </c>
      <c r="AE33" s="92">
        <f t="shared" si="8"/>
        <v>0</v>
      </c>
      <c r="AF33" s="92">
        <f t="shared" si="8"/>
        <v>0</v>
      </c>
      <c r="AG33" s="92">
        <f t="shared" si="8"/>
        <v>0</v>
      </c>
      <c r="AH33" s="92">
        <f t="shared" si="8"/>
        <v>0</v>
      </c>
      <c r="AI33" s="92">
        <f t="shared" si="8"/>
        <v>0</v>
      </c>
      <c r="AJ33" s="92">
        <f t="shared" si="8"/>
        <v>0</v>
      </c>
      <c r="AK33" s="92">
        <f t="shared" si="8"/>
        <v>0</v>
      </c>
      <c r="AL33" s="92">
        <f t="shared" si="8"/>
        <v>0</v>
      </c>
      <c r="AM33" s="92">
        <f t="shared" si="8"/>
        <v>0</v>
      </c>
      <c r="AN33" s="92">
        <f t="shared" si="8"/>
        <v>0</v>
      </c>
      <c r="AO33" s="92">
        <f t="shared" si="8"/>
        <v>0</v>
      </c>
      <c r="AP33" s="92">
        <f t="shared" si="8"/>
        <v>0</v>
      </c>
      <c r="AQ33" s="92">
        <f t="shared" si="8"/>
        <v>0</v>
      </c>
      <c r="AR33" s="92"/>
      <c r="AS33" s="92"/>
      <c r="AT33" s="92"/>
      <c r="AU33" s="92"/>
      <c r="AV33" s="92"/>
      <c r="AW33" s="92"/>
      <c r="AX33" s="93"/>
      <c r="AY33" s="58">
        <f t="shared" si="7"/>
        <v>0</v>
      </c>
    </row>
    <row r="34" spans="1:51" x14ac:dyDescent="0.25">
      <c r="A34" s="54" t="s">
        <v>162</v>
      </c>
      <c r="B34" s="54"/>
      <c r="C34" s="112">
        <v>13877</v>
      </c>
      <c r="F34" s="112">
        <f t="shared" si="3"/>
        <v>13877</v>
      </c>
      <c r="G34" s="58">
        <f>F34</f>
        <v>13877</v>
      </c>
      <c r="H34" s="58">
        <f t="shared" si="4"/>
        <v>0</v>
      </c>
      <c r="I34" s="58"/>
      <c r="J34" s="179"/>
      <c r="K34" s="92"/>
      <c r="L34" s="92"/>
      <c r="M34" s="92"/>
      <c r="N34" s="92">
        <f t="shared" si="5"/>
        <v>0</v>
      </c>
      <c r="O34" s="92"/>
      <c r="P34" s="58">
        <f t="shared" si="6"/>
        <v>13877</v>
      </c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3"/>
      <c r="AY34" s="58">
        <f t="shared" si="7"/>
        <v>0</v>
      </c>
    </row>
    <row r="35" spans="1:51" x14ac:dyDescent="0.25">
      <c r="A35" s="54" t="s">
        <v>268</v>
      </c>
      <c r="B35" s="54"/>
      <c r="C35" s="112">
        <f>'3. ILM Legal'!D25+SUM('3. ILM Legal'!E25:E25)</f>
        <v>96378.27</v>
      </c>
      <c r="F35" s="112">
        <f t="shared" si="3"/>
        <v>96378.27</v>
      </c>
      <c r="G35" s="58">
        <f>'3. ILM Legal'!D25</f>
        <v>96378.27</v>
      </c>
      <c r="H35" s="58">
        <f t="shared" si="4"/>
        <v>0</v>
      </c>
      <c r="I35" s="58"/>
      <c r="J35" s="179"/>
      <c r="K35" s="92"/>
      <c r="L35" s="92"/>
      <c r="M35" s="92"/>
      <c r="N35" s="92">
        <f t="shared" si="5"/>
        <v>0</v>
      </c>
      <c r="O35" s="92"/>
      <c r="P35" s="58">
        <f t="shared" si="6"/>
        <v>96378.27</v>
      </c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3"/>
      <c r="AY35" s="58">
        <f t="shared" si="7"/>
        <v>0</v>
      </c>
    </row>
    <row r="36" spans="1:51" x14ac:dyDescent="0.25">
      <c r="A36" s="54" t="s">
        <v>267</v>
      </c>
      <c r="B36" s="54"/>
      <c r="C36" s="112">
        <f>'4. ILM Bond'!C7+'4. ILM Bond'!D7</f>
        <v>15000</v>
      </c>
      <c r="F36" s="112">
        <f t="shared" si="3"/>
        <v>15000</v>
      </c>
      <c r="G36" s="58">
        <f>'4. ILM Bond'!C7</f>
        <v>7500</v>
      </c>
      <c r="H36" s="58">
        <f t="shared" si="4"/>
        <v>7500</v>
      </c>
      <c r="I36" s="58"/>
      <c r="J36" s="179"/>
      <c r="K36" s="92"/>
      <c r="L36" s="92"/>
      <c r="M36" s="92"/>
      <c r="N36" s="92">
        <f t="shared" si="5"/>
        <v>0</v>
      </c>
      <c r="O36" s="92"/>
      <c r="P36" s="58">
        <f t="shared" si="6"/>
        <v>7500</v>
      </c>
      <c r="Q36" s="92">
        <v>7500</v>
      </c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3"/>
      <c r="AY36" s="58">
        <f t="shared" si="7"/>
        <v>0</v>
      </c>
    </row>
    <row r="37" spans="1:51" x14ac:dyDescent="0.25">
      <c r="A37" s="54" t="s">
        <v>266</v>
      </c>
      <c r="B37" s="54"/>
      <c r="C37" s="112">
        <f>'5. ILM Insurance'!D12</f>
        <v>644565.75</v>
      </c>
      <c r="F37" s="112">
        <f t="shared" si="3"/>
        <v>644565.75</v>
      </c>
      <c r="G37" s="58">
        <f>'5. ILM Insurance'!D12</f>
        <v>644565.75</v>
      </c>
      <c r="H37" s="58">
        <f t="shared" si="4"/>
        <v>0</v>
      </c>
      <c r="I37" s="58"/>
      <c r="J37" s="179"/>
      <c r="K37" s="92"/>
      <c r="L37" s="92"/>
      <c r="M37" s="92"/>
      <c r="N37" s="92">
        <f t="shared" si="5"/>
        <v>0</v>
      </c>
      <c r="O37" s="92"/>
      <c r="P37" s="58">
        <f t="shared" si="6"/>
        <v>644565.75</v>
      </c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3"/>
      <c r="AY37" s="58">
        <f t="shared" si="7"/>
        <v>0</v>
      </c>
    </row>
    <row r="38" spans="1:51" x14ac:dyDescent="0.25">
      <c r="A38" s="54" t="s">
        <v>265</v>
      </c>
      <c r="B38" s="54"/>
      <c r="C38" s="112">
        <f>'6. ILM Airport Fees'!E17+SUM('6. ILM Airport Fees'!F17:J17)</f>
        <v>1550000</v>
      </c>
      <c r="F38" s="112">
        <f t="shared" si="3"/>
        <v>1550000</v>
      </c>
      <c r="G38" s="58">
        <f>'6. ILM Airport Fees'!E17</f>
        <v>1050000</v>
      </c>
      <c r="H38" s="58">
        <f t="shared" si="4"/>
        <v>500000</v>
      </c>
      <c r="I38" s="58"/>
      <c r="J38" s="179"/>
      <c r="K38" s="92">
        <f>'6. ILM Airport Fees'!H17</f>
        <v>150000</v>
      </c>
      <c r="L38" s="92">
        <f>'6. ILM Airport Fees'!I17</f>
        <v>0</v>
      </c>
      <c r="M38" s="92"/>
      <c r="N38" s="92">
        <f t="shared" si="5"/>
        <v>150000</v>
      </c>
      <c r="O38" s="92"/>
      <c r="P38" s="58">
        <f t="shared" si="6"/>
        <v>1200000</v>
      </c>
      <c r="Q38" s="92">
        <f>'6. ILM Airport Fees'!J17</f>
        <v>350000</v>
      </c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3"/>
      <c r="AY38" s="58">
        <f t="shared" si="7"/>
        <v>0</v>
      </c>
    </row>
    <row r="39" spans="1:51" x14ac:dyDescent="0.25">
      <c r="A39" s="54" t="s">
        <v>264</v>
      </c>
      <c r="B39" s="54"/>
      <c r="C39" s="112">
        <f>'7. Consulting'!E42+SUM('7. Consulting'!F42:J42)</f>
        <v>469949</v>
      </c>
      <c r="F39" s="112">
        <f t="shared" si="3"/>
        <v>469949</v>
      </c>
      <c r="G39" s="58">
        <f>'7. Consulting'!E42</f>
        <v>394449</v>
      </c>
      <c r="H39" s="58">
        <f t="shared" si="4"/>
        <v>75500</v>
      </c>
      <c r="I39" s="58"/>
      <c r="J39" s="179">
        <f>'7. Consulting'!G39</f>
        <v>0</v>
      </c>
      <c r="K39" s="92">
        <f>'7. Consulting'!H42</f>
        <v>26500</v>
      </c>
      <c r="L39" s="92">
        <f>'7. Consulting'!I42</f>
        <v>26500</v>
      </c>
      <c r="M39" s="92"/>
      <c r="N39" s="92">
        <f t="shared" si="5"/>
        <v>53000</v>
      </c>
      <c r="O39" s="92"/>
      <c r="P39" s="58">
        <f t="shared" si="6"/>
        <v>447449</v>
      </c>
      <c r="Q39" s="92">
        <f>'7. Consulting'!J40</f>
        <v>22500</v>
      </c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3"/>
      <c r="AY39" s="58">
        <f t="shared" si="7"/>
        <v>0</v>
      </c>
    </row>
    <row r="40" spans="1:51" x14ac:dyDescent="0.25">
      <c r="A40" s="54" t="s">
        <v>263</v>
      </c>
      <c r="B40" s="54"/>
      <c r="C40" s="112">
        <f>'8. Wages &amp; Ben'!N74</f>
        <v>425904.20390000014</v>
      </c>
      <c r="F40" s="112">
        <f t="shared" si="3"/>
        <v>425904.20390000014</v>
      </c>
      <c r="G40" s="58">
        <f>'8. Wages &amp; Ben'!F74</f>
        <v>241144.04390000016</v>
      </c>
      <c r="H40" s="58">
        <f t="shared" si="4"/>
        <v>184760.15999999997</v>
      </c>
      <c r="I40" s="58"/>
      <c r="J40" s="179">
        <f>'8. Wages &amp; Ben'!H74</f>
        <v>0</v>
      </c>
      <c r="K40" s="92">
        <f>'8. Wages &amp; Ben'!I74</f>
        <v>11642.58</v>
      </c>
      <c r="L40" s="92">
        <f>'8. Wages &amp; Ben'!J74</f>
        <v>7761.72</v>
      </c>
      <c r="M40" s="92"/>
      <c r="N40" s="92">
        <f t="shared" si="5"/>
        <v>19404.3</v>
      </c>
      <c r="O40" s="92"/>
      <c r="P40" s="58">
        <f t="shared" si="6"/>
        <v>260548.34390000015</v>
      </c>
      <c r="R40" s="92">
        <f>'8. Wages &amp; Ben'!K74</f>
        <v>165355.85999999999</v>
      </c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3"/>
      <c r="AY40" s="58">
        <f t="shared" si="7"/>
        <v>0</v>
      </c>
    </row>
    <row r="41" spans="1:51" x14ac:dyDescent="0.25">
      <c r="A41" s="54" t="s">
        <v>262</v>
      </c>
      <c r="B41" s="54"/>
      <c r="C41" s="112">
        <f>'9. Travel'!AD37</f>
        <v>265147.96000000002</v>
      </c>
      <c r="F41" s="112">
        <f t="shared" si="3"/>
        <v>265147.96000000002</v>
      </c>
      <c r="G41" s="58">
        <f>'9. Travel'!V37</f>
        <v>235147.96000000002</v>
      </c>
      <c r="H41" s="58">
        <f t="shared" si="4"/>
        <v>30000</v>
      </c>
      <c r="I41" s="58"/>
      <c r="J41" s="179">
        <f>'9. Travel'!X37</f>
        <v>0</v>
      </c>
      <c r="K41" s="92">
        <f>'9. Travel'!Y37</f>
        <v>10000</v>
      </c>
      <c r="L41" s="92">
        <f>'9. Travel'!Z37</f>
        <v>10000</v>
      </c>
      <c r="M41" s="92"/>
      <c r="N41" s="92">
        <f t="shared" si="5"/>
        <v>20000</v>
      </c>
      <c r="O41" s="92"/>
      <c r="P41" s="58">
        <f t="shared" si="6"/>
        <v>255147.96000000002</v>
      </c>
      <c r="R41" s="92">
        <f>'9. Travel'!AA35</f>
        <v>10000</v>
      </c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3"/>
      <c r="AY41" s="58">
        <f t="shared" si="7"/>
        <v>0</v>
      </c>
    </row>
    <row r="42" spans="1:51" x14ac:dyDescent="0.25">
      <c r="A42" s="54"/>
      <c r="B42" s="54"/>
      <c r="G42" s="58"/>
      <c r="H42" s="58"/>
      <c r="I42" s="58"/>
      <c r="J42" s="179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3"/>
      <c r="AY42" s="58"/>
    </row>
    <row r="43" spans="1:51" x14ac:dyDescent="0.25">
      <c r="A43" s="54"/>
      <c r="B43" s="54"/>
      <c r="C43" s="86">
        <f>SUM(C26:C42)</f>
        <v>4573782.3539000005</v>
      </c>
      <c r="D43" s="86">
        <f>SUM(D26:D42)</f>
        <v>717460.79999999993</v>
      </c>
      <c r="F43" s="86">
        <f>SUM(F26:F42)</f>
        <v>5291243.1539000003</v>
      </c>
      <c r="G43" s="86">
        <f>SUM(G26:G42)</f>
        <v>3447108.9139</v>
      </c>
      <c r="H43" s="86">
        <f>SUM(H26:H42)</f>
        <v>1844134.24</v>
      </c>
      <c r="I43" s="59"/>
      <c r="J43" s="180">
        <f>SUM(J26:J42)</f>
        <v>0</v>
      </c>
      <c r="K43" s="88">
        <f t="shared" ref="K43:AK43" si="9">SUM(K26:K42)</f>
        <v>247971.66</v>
      </c>
      <c r="L43" s="88">
        <f t="shared" si="9"/>
        <v>69261.72</v>
      </c>
      <c r="M43" s="92"/>
      <c r="N43" s="88">
        <f t="shared" si="9"/>
        <v>317233.38</v>
      </c>
      <c r="O43" s="92"/>
      <c r="P43" s="88">
        <f t="shared" si="9"/>
        <v>3764342.2939000004</v>
      </c>
      <c r="Q43" s="88">
        <f t="shared" si="9"/>
        <v>380000</v>
      </c>
      <c r="R43" s="88">
        <f t="shared" si="9"/>
        <v>356900.86</v>
      </c>
      <c r="S43" s="88">
        <f t="shared" si="9"/>
        <v>50000</v>
      </c>
      <c r="T43" s="88">
        <f t="shared" si="9"/>
        <v>55000</v>
      </c>
      <c r="U43" s="88">
        <f t="shared" si="9"/>
        <v>80000</v>
      </c>
      <c r="V43" s="88">
        <f t="shared" si="9"/>
        <v>60000</v>
      </c>
      <c r="W43" s="88">
        <f t="shared" si="9"/>
        <v>60000</v>
      </c>
      <c r="X43" s="88">
        <f t="shared" si="9"/>
        <v>75000</v>
      </c>
      <c r="Y43" s="88">
        <f t="shared" si="9"/>
        <v>75000</v>
      </c>
      <c r="Z43" s="88">
        <f t="shared" si="9"/>
        <v>75000</v>
      </c>
      <c r="AA43" s="88">
        <f t="shared" si="9"/>
        <v>75000</v>
      </c>
      <c r="AB43" s="88">
        <f t="shared" si="9"/>
        <v>75000</v>
      </c>
      <c r="AC43" s="88">
        <f t="shared" si="9"/>
        <v>50000</v>
      </c>
      <c r="AD43" s="88">
        <f t="shared" si="9"/>
        <v>35000</v>
      </c>
      <c r="AE43" s="88">
        <f t="shared" si="9"/>
        <v>25000</v>
      </c>
      <c r="AF43" s="88">
        <f t="shared" si="9"/>
        <v>0</v>
      </c>
      <c r="AG43" s="88">
        <f t="shared" si="9"/>
        <v>0</v>
      </c>
      <c r="AH43" s="88">
        <f t="shared" si="9"/>
        <v>0</v>
      </c>
      <c r="AI43" s="88">
        <f t="shared" si="9"/>
        <v>0</v>
      </c>
      <c r="AJ43" s="88">
        <f t="shared" si="9"/>
        <v>0</v>
      </c>
      <c r="AK43" s="88">
        <f t="shared" si="9"/>
        <v>0</v>
      </c>
      <c r="AL43" s="88">
        <f t="shared" ref="AL43:AW43" si="10">SUM(AL27:AL42)</f>
        <v>0</v>
      </c>
      <c r="AM43" s="88">
        <f t="shared" si="10"/>
        <v>0</v>
      </c>
      <c r="AN43" s="88">
        <f t="shared" si="10"/>
        <v>0</v>
      </c>
      <c r="AO43" s="88">
        <f t="shared" si="10"/>
        <v>0</v>
      </c>
      <c r="AP43" s="88">
        <f t="shared" si="10"/>
        <v>0</v>
      </c>
      <c r="AQ43" s="88">
        <f t="shared" si="10"/>
        <v>0</v>
      </c>
      <c r="AR43" s="88">
        <f t="shared" si="10"/>
        <v>0</v>
      </c>
      <c r="AS43" s="88">
        <f t="shared" si="10"/>
        <v>0</v>
      </c>
      <c r="AT43" s="88">
        <f t="shared" si="10"/>
        <v>0</v>
      </c>
      <c r="AU43" s="88">
        <f t="shared" si="10"/>
        <v>0</v>
      </c>
      <c r="AV43" s="88">
        <f t="shared" si="10"/>
        <v>0</v>
      </c>
      <c r="AW43" s="88">
        <f t="shared" si="10"/>
        <v>0</v>
      </c>
      <c r="AX43" s="93"/>
      <c r="AY43" s="88">
        <f>SUM(AY26:AY42)</f>
        <v>0</v>
      </c>
    </row>
    <row r="44" spans="1:51" x14ac:dyDescent="0.25">
      <c r="A44" s="54"/>
      <c r="B44" s="54"/>
      <c r="G44" s="58"/>
      <c r="H44" s="58"/>
      <c r="I44" s="58"/>
      <c r="J44" s="179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3"/>
    </row>
    <row r="45" spans="1:51" x14ac:dyDescent="0.25">
      <c r="A45" s="54"/>
      <c r="B45" s="54"/>
      <c r="C45" s="87"/>
      <c r="H45" s="58"/>
      <c r="I45" s="58"/>
      <c r="J45" s="179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3"/>
    </row>
    <row r="46" spans="1:51" x14ac:dyDescent="0.25">
      <c r="A46" s="54" t="s">
        <v>260</v>
      </c>
      <c r="B46" s="54"/>
      <c r="C46" s="87">
        <f>'ILM FF&amp;E'!F61</f>
        <v>8962564</v>
      </c>
      <c r="D46" s="87">
        <f>'12. 805 FF&amp;E'!M52</f>
        <v>1507458</v>
      </c>
      <c r="F46" s="112">
        <f>SUM(C46:E46)</f>
        <v>10470022</v>
      </c>
      <c r="G46" s="57">
        <f>'ILM FF&amp;E'!F70+'12. 805 FF&amp;E'!E52</f>
        <v>1520921</v>
      </c>
      <c r="H46" s="58">
        <f>F46-G46</f>
        <v>8949101</v>
      </c>
      <c r="I46" s="58"/>
      <c r="J46" s="179"/>
      <c r="K46" s="92">
        <f>'ILM FF&amp;E'!I70+'12. 805 FF&amp;E'!H52</f>
        <v>13423</v>
      </c>
      <c r="L46" s="92">
        <f>'ILM FF&amp;E'!J70+'12. 805 FF&amp;E'!I52</f>
        <v>8560</v>
      </c>
      <c r="M46" s="92"/>
      <c r="N46" s="92">
        <f t="shared" ref="N46" si="11">SUM(J46:M46)</f>
        <v>21983</v>
      </c>
      <c r="O46" s="92"/>
      <c r="P46" s="58">
        <f t="shared" ref="P46" si="12">G46+N46</f>
        <v>1542904</v>
      </c>
      <c r="Q46" s="92">
        <f>'ILM FF&amp;E'!K70+'12. 805 FF&amp;E'!J52</f>
        <v>565974</v>
      </c>
      <c r="R46" s="92">
        <f>'ILM FF&amp;E'!L70+'12. 805 FF&amp;E'!K52</f>
        <v>53101</v>
      </c>
      <c r="S46" s="92"/>
      <c r="T46" s="92">
        <f>'ILM FF&amp;E'!N61</f>
        <v>1800000</v>
      </c>
      <c r="U46" s="92">
        <f>'ILM FF&amp;E'!O61</f>
        <v>0</v>
      </c>
      <c r="V46" s="92">
        <f>'ILM FF&amp;E'!P61</f>
        <v>287196.5</v>
      </c>
      <c r="W46" s="92">
        <f>'ILM FF&amp;E'!Q61</f>
        <v>3010000</v>
      </c>
      <c r="X46" s="92">
        <f>'ILM FF&amp;E'!R61</f>
        <v>0</v>
      </c>
      <c r="Y46" s="92">
        <f>'ILM FF&amp;E'!S61</f>
        <v>434750</v>
      </c>
      <c r="Z46" s="92">
        <f>'ILM FF&amp;E'!T61</f>
        <v>100000</v>
      </c>
      <c r="AA46" s="92">
        <f>'ILM FF&amp;E'!U61</f>
        <v>1306000</v>
      </c>
      <c r="AB46" s="92">
        <f>'ILM FF&amp;E'!V61</f>
        <v>45000</v>
      </c>
      <c r="AC46" s="92">
        <f>'ILM FF&amp;E'!W61</f>
        <v>401500</v>
      </c>
      <c r="AD46" s="92">
        <f>'ILM FF&amp;E'!X61</f>
        <v>636400</v>
      </c>
      <c r="AE46" s="92">
        <f>'ILM FF&amp;E'!Y61</f>
        <v>287196.5</v>
      </c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3"/>
      <c r="AY46" s="58">
        <f>F46-SUM(P46:AX46)</f>
        <v>0</v>
      </c>
    </row>
    <row r="47" spans="1:51" x14ac:dyDescent="0.25">
      <c r="A47" s="54"/>
      <c r="B47" s="54"/>
      <c r="C47" s="87"/>
      <c r="D47" s="87"/>
      <c r="H47" s="58"/>
      <c r="I47" s="58"/>
      <c r="J47" s="179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3"/>
    </row>
    <row r="48" spans="1:51" x14ac:dyDescent="0.25">
      <c r="A48" s="54" t="s">
        <v>259</v>
      </c>
      <c r="B48" s="54"/>
      <c r="C48" s="87"/>
      <c r="D48" s="87">
        <f>'10. 805 Purchase'!D36</f>
        <v>2024775.6300000008</v>
      </c>
      <c r="F48" s="112">
        <f>SUM(C48:E48)</f>
        <v>2024775.6300000008</v>
      </c>
      <c r="G48" s="59">
        <f>'10. 805 Purchase'!D36</f>
        <v>2024775.6300000008</v>
      </c>
      <c r="H48" s="58">
        <f>F48-G48</f>
        <v>0</v>
      </c>
      <c r="I48" s="58"/>
      <c r="J48" s="179"/>
      <c r="K48" s="92"/>
      <c r="L48" s="92"/>
      <c r="M48" s="92"/>
      <c r="N48" s="92">
        <f t="shared" ref="N48:N49" si="13">SUM(J48:M48)</f>
        <v>0</v>
      </c>
      <c r="O48" s="92"/>
      <c r="P48" s="58">
        <f t="shared" ref="P48:P49" si="14">G48+N48</f>
        <v>2024775.6300000008</v>
      </c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3"/>
      <c r="AY48" s="58">
        <f t="shared" ref="AY48:AY49" si="15">F48-SUM(P48:AX48)</f>
        <v>0</v>
      </c>
    </row>
    <row r="49" spans="1:51" x14ac:dyDescent="0.25">
      <c r="A49" s="54" t="s">
        <v>258</v>
      </c>
      <c r="B49" s="54"/>
      <c r="C49" s="87"/>
      <c r="D49" s="87">
        <f>'14. Frontier'!L65</f>
        <v>3924650</v>
      </c>
      <c r="F49" s="112">
        <f>SUM(C49:E49)</f>
        <v>3924650</v>
      </c>
      <c r="G49" s="59">
        <f>'14. Frontier'!D65</f>
        <v>3644650</v>
      </c>
      <c r="H49" s="58">
        <f>F49-G49</f>
        <v>280000</v>
      </c>
      <c r="I49" s="58"/>
      <c r="J49" s="179">
        <f>'14. Frontier'!F65</f>
        <v>0</v>
      </c>
      <c r="K49" s="92">
        <f>'14. Frontier'!G65</f>
        <v>140000</v>
      </c>
      <c r="L49" s="92">
        <f>'14. Frontier'!H65</f>
        <v>140000</v>
      </c>
      <c r="M49" s="92"/>
      <c r="N49" s="92">
        <f t="shared" si="13"/>
        <v>280000</v>
      </c>
      <c r="O49" s="92"/>
      <c r="P49" s="58">
        <f t="shared" si="14"/>
        <v>3924650</v>
      </c>
      <c r="Q49" s="92">
        <f>'14. Frontier'!I65</f>
        <v>0</v>
      </c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3"/>
      <c r="AY49" s="58">
        <f t="shared" si="15"/>
        <v>0</v>
      </c>
    </row>
    <row r="50" spans="1:51" x14ac:dyDescent="0.25">
      <c r="A50" s="54"/>
      <c r="B50" s="54"/>
      <c r="C50" s="116"/>
      <c r="D50" s="116"/>
      <c r="J50" s="179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3"/>
    </row>
    <row r="51" spans="1:51" x14ac:dyDescent="0.25">
      <c r="A51" s="54"/>
      <c r="B51" s="54"/>
      <c r="C51" s="86">
        <f>C19+C43+C24+C46+C48+C49</f>
        <v>97904408.1039</v>
      </c>
      <c r="D51" s="86">
        <f>D19+D43+D24+D46+D48+D49</f>
        <v>8174344.4300000006</v>
      </c>
      <c r="F51" s="86">
        <f>F19+F43+F24+F46+F48+F49</f>
        <v>106078752.53389999</v>
      </c>
      <c r="G51" s="62">
        <f>G19+G43+G24+G46+G48+G49</f>
        <v>24541296.703899994</v>
      </c>
      <c r="H51" s="86">
        <f>H19+H43+H24+H46+H48+H49</f>
        <v>81537455.829999998</v>
      </c>
      <c r="I51" s="87"/>
      <c r="J51" s="181">
        <f>J19+J24+J43+SUM(J46:J50)</f>
        <v>0</v>
      </c>
      <c r="K51" s="7">
        <f t="shared" ref="K51:AF51" si="16">K19+K24+K43+SUM(K46:K50)</f>
        <v>401394.66000000003</v>
      </c>
      <c r="L51" s="7">
        <f t="shared" si="16"/>
        <v>217821.72</v>
      </c>
      <c r="M51" s="38"/>
      <c r="N51" s="7">
        <f t="shared" si="16"/>
        <v>619216.38</v>
      </c>
      <c r="O51" s="38"/>
      <c r="P51" s="7">
        <f t="shared" si="16"/>
        <v>25160513.083899997</v>
      </c>
      <c r="Q51" s="7">
        <f t="shared" si="16"/>
        <v>6274902</v>
      </c>
      <c r="R51" s="7">
        <f t="shared" si="16"/>
        <v>410001.86</v>
      </c>
      <c r="S51" s="7">
        <f t="shared" si="16"/>
        <v>50000</v>
      </c>
      <c r="T51" s="7">
        <f t="shared" si="16"/>
        <v>7123175</v>
      </c>
      <c r="U51" s="7">
        <f t="shared" si="16"/>
        <v>5374426</v>
      </c>
      <c r="V51" s="7">
        <f t="shared" si="16"/>
        <v>4632040.5</v>
      </c>
      <c r="W51" s="7">
        <f t="shared" si="16"/>
        <v>6813250</v>
      </c>
      <c r="X51" s="7">
        <f t="shared" si="16"/>
        <v>6111555</v>
      </c>
      <c r="Y51" s="7">
        <f t="shared" si="16"/>
        <v>9475569</v>
      </c>
      <c r="Z51" s="7">
        <f t="shared" si="16"/>
        <v>6267348</v>
      </c>
      <c r="AA51" s="7">
        <f t="shared" si="16"/>
        <v>5325528</v>
      </c>
      <c r="AB51" s="7">
        <f t="shared" si="16"/>
        <v>7512339</v>
      </c>
      <c r="AC51" s="7">
        <f t="shared" si="16"/>
        <v>5383610</v>
      </c>
      <c r="AD51" s="7">
        <f t="shared" si="16"/>
        <v>4985942</v>
      </c>
      <c r="AE51" s="7">
        <f t="shared" si="16"/>
        <v>4481866.5</v>
      </c>
      <c r="AF51" s="7">
        <f t="shared" si="16"/>
        <v>696687</v>
      </c>
      <c r="AG51" s="7">
        <f t="shared" ref="AG51:AW51" si="17">AG19+AG43+AG24+AG46+AG48+AG49</f>
        <v>0</v>
      </c>
      <c r="AH51" s="7">
        <f t="shared" si="17"/>
        <v>0</v>
      </c>
      <c r="AI51" s="7">
        <f t="shared" si="17"/>
        <v>0</v>
      </c>
      <c r="AJ51" s="7">
        <f t="shared" si="17"/>
        <v>0</v>
      </c>
      <c r="AK51" s="7">
        <f t="shared" si="17"/>
        <v>0</v>
      </c>
      <c r="AL51" s="7">
        <f t="shared" si="17"/>
        <v>0</v>
      </c>
      <c r="AM51" s="7">
        <f t="shared" si="17"/>
        <v>0</v>
      </c>
      <c r="AN51" s="7">
        <f t="shared" si="17"/>
        <v>0</v>
      </c>
      <c r="AO51" s="7">
        <f t="shared" si="17"/>
        <v>0</v>
      </c>
      <c r="AP51" s="7">
        <f t="shared" si="17"/>
        <v>0</v>
      </c>
      <c r="AQ51" s="7">
        <f t="shared" si="17"/>
        <v>0</v>
      </c>
      <c r="AR51" s="7">
        <f t="shared" si="17"/>
        <v>0</v>
      </c>
      <c r="AS51" s="7">
        <f t="shared" si="17"/>
        <v>0</v>
      </c>
      <c r="AT51" s="7">
        <f t="shared" si="17"/>
        <v>0</v>
      </c>
      <c r="AU51" s="7">
        <f t="shared" si="17"/>
        <v>0</v>
      </c>
      <c r="AV51" s="7">
        <f t="shared" si="17"/>
        <v>0</v>
      </c>
      <c r="AW51" s="7">
        <f t="shared" si="17"/>
        <v>0</v>
      </c>
      <c r="AX51" s="93"/>
      <c r="AY51" s="7">
        <f t="shared" ref="AY51" si="18">AY19+AY43+AY24+AY46+AY48+AY49</f>
        <v>-0.40999999642372131</v>
      </c>
    </row>
    <row r="52" spans="1:51" x14ac:dyDescent="0.25">
      <c r="A52" s="54"/>
      <c r="B52" s="54"/>
      <c r="C52" s="87"/>
      <c r="D52" s="87"/>
      <c r="F52" s="87"/>
      <c r="G52" s="56"/>
      <c r="H52" s="87"/>
      <c r="I52" s="87"/>
      <c r="J52" s="182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93"/>
      <c r="AY52" s="38"/>
    </row>
    <row r="53" spans="1:51" x14ac:dyDescent="0.25">
      <c r="A53" s="54" t="s">
        <v>557</v>
      </c>
      <c r="B53" s="54"/>
      <c r="C53" s="116">
        <f>-'Operating Costs'!W77</f>
        <v>18322879</v>
      </c>
      <c r="D53" s="116">
        <f>-'Operating Costs'!W76</f>
        <v>2477660</v>
      </c>
      <c r="F53" s="116">
        <f>SUM(C53:E53)</f>
        <v>20800539</v>
      </c>
      <c r="G53" s="155"/>
      <c r="H53" s="156">
        <f>F53-G53</f>
        <v>20800539</v>
      </c>
      <c r="I53" s="87"/>
      <c r="J53" s="183"/>
      <c r="K53" s="50"/>
      <c r="L53" s="50"/>
      <c r="M53" s="50"/>
      <c r="N53" s="50"/>
      <c r="O53" s="50"/>
      <c r="P53" s="50"/>
      <c r="Q53" s="50">
        <f>-'Operating Costs'!D67</f>
        <v>328057</v>
      </c>
      <c r="R53" s="50">
        <f>-'Operating Costs'!E67</f>
        <v>431056.5</v>
      </c>
      <c r="S53" s="50">
        <f>-'Operating Costs'!F67</f>
        <v>296671</v>
      </c>
      <c r="T53" s="50">
        <f>-'Operating Costs'!G67</f>
        <v>408546</v>
      </c>
      <c r="U53" s="50">
        <f>-'Operating Costs'!H67</f>
        <v>342481</v>
      </c>
      <c r="V53" s="50">
        <f>-'Operating Costs'!I67</f>
        <v>382069</v>
      </c>
      <c r="W53" s="50">
        <f>-'Operating Costs'!J67</f>
        <v>314569</v>
      </c>
      <c r="X53" s="50">
        <f>-'Operating Costs'!K67</f>
        <v>328301</v>
      </c>
      <c r="Y53" s="50">
        <f>-'Operating Costs'!L67</f>
        <v>566099</v>
      </c>
      <c r="Z53" s="50">
        <f>-'Operating Costs'!M67</f>
        <v>877685</v>
      </c>
      <c r="AA53" s="50">
        <f>-'Operating Costs'!N67</f>
        <v>1033719</v>
      </c>
      <c r="AB53" s="50">
        <f>-'Operating Costs'!O67</f>
        <v>1126373</v>
      </c>
      <c r="AC53" s="50">
        <f>-'Operating Costs'!P67</f>
        <v>2186961</v>
      </c>
      <c r="AD53" s="50">
        <f>-'Operating Costs'!Q67</f>
        <v>2249072</v>
      </c>
      <c r="AE53" s="50">
        <f>-'Operating Costs'!R67</f>
        <v>2305185</v>
      </c>
      <c r="AF53" s="50">
        <f>-'Operating Costs'!S67</f>
        <v>2353930</v>
      </c>
      <c r="AG53" s="50">
        <f>-'Operating Costs'!T67</f>
        <v>2624422</v>
      </c>
      <c r="AH53" s="50">
        <f>-'Operating Costs'!U67</f>
        <v>2645342</v>
      </c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93"/>
      <c r="AY53" s="156">
        <f>F53-SUM(P53:AX53)</f>
        <v>0.5</v>
      </c>
    </row>
    <row r="54" spans="1:51" x14ac:dyDescent="0.25">
      <c r="A54" s="54"/>
      <c r="B54" s="54"/>
      <c r="J54" s="179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3"/>
    </row>
    <row r="55" spans="1:51" x14ac:dyDescent="0.25">
      <c r="A55" s="54" t="s">
        <v>257</v>
      </c>
      <c r="B55" s="54"/>
      <c r="J55" s="179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3"/>
    </row>
    <row r="56" spans="1:51" x14ac:dyDescent="0.25">
      <c r="A56" s="54" t="s">
        <v>556</v>
      </c>
      <c r="B56" s="63">
        <v>0.05</v>
      </c>
      <c r="C56" s="87">
        <f>ROUND((C$51)*$B56,0)</f>
        <v>4895220</v>
      </c>
      <c r="D56" s="87">
        <f>ROUND((D$51)*$B56,0)</f>
        <v>408717</v>
      </c>
      <c r="E56" s="112"/>
      <c r="F56" s="87">
        <f t="shared" ref="F56:F62" si="19">SUM(C56:E56)</f>
        <v>5303937</v>
      </c>
      <c r="G56" s="64"/>
      <c r="H56" s="58">
        <f t="shared" ref="H56:H62" si="20">F56-G56</f>
        <v>5303937</v>
      </c>
      <c r="I56" s="58"/>
      <c r="J56" s="179"/>
      <c r="K56" s="92"/>
      <c r="L56" s="92"/>
      <c r="M56" s="92"/>
      <c r="N56" s="92">
        <f t="shared" ref="N56:N62" si="21">SUM(J56:M56)</f>
        <v>0</v>
      </c>
      <c r="O56" s="92"/>
      <c r="P56" s="58">
        <f t="shared" ref="P56:P61" si="22">G56+N56</f>
        <v>0</v>
      </c>
      <c r="Q56" s="92">
        <f>ROUND(SUM(P51:Q51)*$B$56,0)</f>
        <v>1571771</v>
      </c>
      <c r="R56" s="92">
        <f t="shared" ref="R56:AW56" si="23">ROUND(R51*$B$56,0)</f>
        <v>20500</v>
      </c>
      <c r="S56" s="92">
        <f t="shared" si="23"/>
        <v>2500</v>
      </c>
      <c r="T56" s="92">
        <f t="shared" si="23"/>
        <v>356159</v>
      </c>
      <c r="U56" s="92">
        <f t="shared" si="23"/>
        <v>268721</v>
      </c>
      <c r="V56" s="92">
        <f t="shared" si="23"/>
        <v>231602</v>
      </c>
      <c r="W56" s="92">
        <f t="shared" si="23"/>
        <v>340663</v>
      </c>
      <c r="X56" s="92">
        <f t="shared" si="23"/>
        <v>305578</v>
      </c>
      <c r="Y56" s="92">
        <f t="shared" si="23"/>
        <v>473778</v>
      </c>
      <c r="Z56" s="92">
        <f t="shared" si="23"/>
        <v>313367</v>
      </c>
      <c r="AA56" s="92">
        <f t="shared" si="23"/>
        <v>266276</v>
      </c>
      <c r="AB56" s="92">
        <f t="shared" si="23"/>
        <v>375617</v>
      </c>
      <c r="AC56" s="92">
        <f t="shared" si="23"/>
        <v>269181</v>
      </c>
      <c r="AD56" s="92">
        <f t="shared" si="23"/>
        <v>249297</v>
      </c>
      <c r="AE56" s="92">
        <f t="shared" si="23"/>
        <v>224093</v>
      </c>
      <c r="AF56" s="92">
        <f t="shared" si="23"/>
        <v>34834</v>
      </c>
      <c r="AG56" s="92">
        <f t="shared" si="23"/>
        <v>0</v>
      </c>
      <c r="AH56" s="92">
        <f t="shared" si="23"/>
        <v>0</v>
      </c>
      <c r="AI56" s="92">
        <f t="shared" si="23"/>
        <v>0</v>
      </c>
      <c r="AJ56" s="92">
        <f t="shared" si="23"/>
        <v>0</v>
      </c>
      <c r="AK56" s="92">
        <f t="shared" si="23"/>
        <v>0</v>
      </c>
      <c r="AL56" s="92">
        <f t="shared" si="23"/>
        <v>0</v>
      </c>
      <c r="AM56" s="92">
        <f t="shared" si="23"/>
        <v>0</v>
      </c>
      <c r="AN56" s="92">
        <f t="shared" si="23"/>
        <v>0</v>
      </c>
      <c r="AO56" s="92">
        <f t="shared" si="23"/>
        <v>0</v>
      </c>
      <c r="AP56" s="92">
        <f t="shared" si="23"/>
        <v>0</v>
      </c>
      <c r="AQ56" s="92">
        <f t="shared" si="23"/>
        <v>0</v>
      </c>
      <c r="AR56" s="92">
        <f t="shared" si="23"/>
        <v>0</v>
      </c>
      <c r="AS56" s="92">
        <f t="shared" si="23"/>
        <v>0</v>
      </c>
      <c r="AT56" s="92">
        <f t="shared" si="23"/>
        <v>0</v>
      </c>
      <c r="AU56" s="92">
        <f t="shared" si="23"/>
        <v>0</v>
      </c>
      <c r="AV56" s="92">
        <f t="shared" si="23"/>
        <v>0</v>
      </c>
      <c r="AW56" s="92">
        <f t="shared" si="23"/>
        <v>0</v>
      </c>
      <c r="AX56" s="93"/>
      <c r="AY56" s="58">
        <f t="shared" ref="AY56:AY62" si="24">F56-SUM(P56:AX56)</f>
        <v>0</v>
      </c>
    </row>
    <row r="57" spans="1:51" x14ac:dyDescent="0.25">
      <c r="A57" s="54" t="s">
        <v>520</v>
      </c>
      <c r="B57" s="60">
        <v>5.0000000000000001E-3</v>
      </c>
      <c r="C57" s="87">
        <f>120000000*B57</f>
        <v>600000</v>
      </c>
      <c r="D57" s="87"/>
      <c r="E57" s="112"/>
      <c r="F57" s="87">
        <f t="shared" si="19"/>
        <v>600000</v>
      </c>
      <c r="G57" s="64"/>
      <c r="H57" s="58">
        <f t="shared" si="20"/>
        <v>600000</v>
      </c>
      <c r="I57" s="58"/>
      <c r="J57" s="179"/>
      <c r="K57" s="92"/>
      <c r="L57" s="92"/>
      <c r="M57" s="92"/>
      <c r="N57" s="92">
        <f t="shared" si="21"/>
        <v>0</v>
      </c>
      <c r="O57" s="92"/>
      <c r="P57" s="58">
        <f t="shared" si="22"/>
        <v>0</v>
      </c>
      <c r="Q57" s="92">
        <f>H57</f>
        <v>600000</v>
      </c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3"/>
      <c r="AY57" s="58">
        <f t="shared" si="24"/>
        <v>0</v>
      </c>
    </row>
    <row r="58" spans="1:51" x14ac:dyDescent="0.25">
      <c r="A58" s="54" t="s">
        <v>521</v>
      </c>
      <c r="B58" s="60">
        <v>1E-3</v>
      </c>
      <c r="C58" s="87">
        <f>ROUND(C$51*$B58,0)</f>
        <v>97904</v>
      </c>
      <c r="D58" s="87"/>
      <c r="F58" s="87">
        <f t="shared" si="19"/>
        <v>97904</v>
      </c>
      <c r="H58" s="58">
        <f t="shared" si="20"/>
        <v>97904</v>
      </c>
      <c r="I58" s="58"/>
      <c r="J58" s="179"/>
      <c r="K58" s="92"/>
      <c r="L58" s="92"/>
      <c r="M58" s="92"/>
      <c r="N58" s="92">
        <f t="shared" si="21"/>
        <v>0</v>
      </c>
      <c r="O58" s="92"/>
      <c r="P58" s="58">
        <f t="shared" si="22"/>
        <v>0</v>
      </c>
      <c r="Q58" s="92">
        <f>H58</f>
        <v>97904</v>
      </c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3"/>
      <c r="AY58" s="58">
        <f t="shared" si="24"/>
        <v>0</v>
      </c>
    </row>
    <row r="59" spans="1:51" x14ac:dyDescent="0.25">
      <c r="A59" s="54" t="s">
        <v>256</v>
      </c>
      <c r="B59" s="60"/>
      <c r="D59" s="87">
        <f>'15. STAR Payoff'!E8</f>
        <v>3562018</v>
      </c>
      <c r="E59" s="57"/>
      <c r="F59" s="87">
        <f t="shared" si="19"/>
        <v>3562018</v>
      </c>
      <c r="H59" s="58">
        <f t="shared" si="20"/>
        <v>3562018</v>
      </c>
      <c r="I59" s="58"/>
      <c r="J59" s="179"/>
      <c r="K59" s="92"/>
      <c r="L59" s="92"/>
      <c r="M59" s="92"/>
      <c r="N59" s="92">
        <f t="shared" si="21"/>
        <v>0</v>
      </c>
      <c r="O59" s="92"/>
      <c r="P59" s="58">
        <f t="shared" si="22"/>
        <v>0</v>
      </c>
      <c r="Q59" s="92">
        <f>H59</f>
        <v>3562018</v>
      </c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3"/>
      <c r="AY59" s="58">
        <f t="shared" si="24"/>
        <v>0</v>
      </c>
    </row>
    <row r="60" spans="1:51" x14ac:dyDescent="0.25">
      <c r="A60" s="54" t="s">
        <v>255</v>
      </c>
      <c r="B60" s="63">
        <v>0.01</v>
      </c>
      <c r="D60" s="87"/>
      <c r="E60" s="57"/>
      <c r="F60" s="87">
        <f t="shared" si="19"/>
        <v>0</v>
      </c>
      <c r="H60" s="58">
        <f t="shared" si="20"/>
        <v>0</v>
      </c>
      <c r="I60" s="58"/>
      <c r="J60" s="179"/>
      <c r="K60" s="92"/>
      <c r="L60" s="92"/>
      <c r="M60" s="92"/>
      <c r="N60" s="92">
        <f t="shared" si="21"/>
        <v>0</v>
      </c>
      <c r="O60" s="92"/>
      <c r="P60" s="58">
        <f t="shared" si="22"/>
        <v>0</v>
      </c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3"/>
      <c r="AY60" s="58">
        <f t="shared" si="24"/>
        <v>0</v>
      </c>
    </row>
    <row r="61" spans="1:51" x14ac:dyDescent="0.25">
      <c r="A61" s="54" t="s">
        <v>254</v>
      </c>
      <c r="B61" s="63"/>
      <c r="D61" s="87"/>
      <c r="E61" s="57"/>
      <c r="F61" s="87">
        <f t="shared" si="19"/>
        <v>0</v>
      </c>
      <c r="H61" s="58">
        <f t="shared" si="20"/>
        <v>0</v>
      </c>
      <c r="I61" s="58"/>
      <c r="J61" s="179"/>
      <c r="K61" s="92"/>
      <c r="L61" s="92"/>
      <c r="M61" s="92"/>
      <c r="N61" s="92">
        <f t="shared" si="21"/>
        <v>0</v>
      </c>
      <c r="O61" s="92"/>
      <c r="P61" s="58">
        <f t="shared" si="22"/>
        <v>0</v>
      </c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3"/>
      <c r="AY61" s="58">
        <f t="shared" si="24"/>
        <v>0</v>
      </c>
    </row>
    <row r="62" spans="1:51" x14ac:dyDescent="0.25">
      <c r="A62" s="54" t="s">
        <v>253</v>
      </c>
      <c r="B62" s="60"/>
      <c r="C62" s="112">
        <f>'16. Closing Costs'!H17</f>
        <v>3670777.92</v>
      </c>
      <c r="D62" s="87"/>
      <c r="E62" s="57"/>
      <c r="F62" s="87">
        <f t="shared" si="19"/>
        <v>3670777.92</v>
      </c>
      <c r="G62" s="59">
        <f>'16. Closing Costs'!D17</f>
        <v>1341767.92</v>
      </c>
      <c r="H62" s="58">
        <f t="shared" si="20"/>
        <v>2329010</v>
      </c>
      <c r="I62" s="58"/>
      <c r="J62" s="179"/>
      <c r="K62" s="92"/>
      <c r="L62" s="92"/>
      <c r="M62" s="92"/>
      <c r="N62" s="92">
        <f t="shared" si="21"/>
        <v>0</v>
      </c>
      <c r="O62" s="92"/>
      <c r="P62" s="58">
        <f t="shared" ref="P62" si="25">G62+N62</f>
        <v>1341767.92</v>
      </c>
      <c r="Q62" s="92">
        <f>'16. Closing Costs'!F17</f>
        <v>2329010</v>
      </c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3"/>
      <c r="AY62" s="58">
        <f t="shared" si="24"/>
        <v>0</v>
      </c>
    </row>
    <row r="63" spans="1:51" x14ac:dyDescent="0.25">
      <c r="J63" s="179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3"/>
    </row>
    <row r="64" spans="1:51" x14ac:dyDescent="0.25">
      <c r="A64" s="54"/>
      <c r="B64" s="60"/>
      <c r="C64" s="86">
        <f>SUM(C55:C63)</f>
        <v>9263901.9199999999</v>
      </c>
      <c r="D64" s="86">
        <f>SUM(D55:D63)</f>
        <v>3970735</v>
      </c>
      <c r="F64" s="86">
        <f>SUM(F55:F63)</f>
        <v>13234636.92</v>
      </c>
      <c r="G64" s="62">
        <f>SUM(G55:G63)</f>
        <v>1341767.92</v>
      </c>
      <c r="H64" s="61">
        <f>SUM(H55:H63)</f>
        <v>11892869</v>
      </c>
      <c r="I64" s="59"/>
      <c r="J64" s="180">
        <f t="shared" ref="J64:AW64" si="26">SUM(J55:J63)</f>
        <v>0</v>
      </c>
      <c r="K64" s="88">
        <f t="shared" si="26"/>
        <v>0</v>
      </c>
      <c r="L64" s="88">
        <f t="shared" si="26"/>
        <v>0</v>
      </c>
      <c r="M64" s="92"/>
      <c r="N64" s="88">
        <f t="shared" si="26"/>
        <v>0</v>
      </c>
      <c r="O64" s="92"/>
      <c r="P64" s="88">
        <f t="shared" si="26"/>
        <v>1341767.92</v>
      </c>
      <c r="Q64" s="88">
        <f t="shared" si="26"/>
        <v>8160703</v>
      </c>
      <c r="R64" s="88">
        <f t="shared" si="26"/>
        <v>20500</v>
      </c>
      <c r="S64" s="88">
        <f t="shared" si="26"/>
        <v>2500</v>
      </c>
      <c r="T64" s="88">
        <f t="shared" si="26"/>
        <v>356159</v>
      </c>
      <c r="U64" s="88">
        <f t="shared" si="26"/>
        <v>268721</v>
      </c>
      <c r="V64" s="88">
        <f t="shared" si="26"/>
        <v>231602</v>
      </c>
      <c r="W64" s="88">
        <f t="shared" si="26"/>
        <v>340663</v>
      </c>
      <c r="X64" s="88">
        <f t="shared" si="26"/>
        <v>305578</v>
      </c>
      <c r="Y64" s="88">
        <f t="shared" si="26"/>
        <v>473778</v>
      </c>
      <c r="Z64" s="88">
        <f t="shared" si="26"/>
        <v>313367</v>
      </c>
      <c r="AA64" s="88">
        <f t="shared" si="26"/>
        <v>266276</v>
      </c>
      <c r="AB64" s="88">
        <f t="shared" si="26"/>
        <v>375617</v>
      </c>
      <c r="AC64" s="88">
        <f t="shared" si="26"/>
        <v>269181</v>
      </c>
      <c r="AD64" s="88">
        <f t="shared" si="26"/>
        <v>249297</v>
      </c>
      <c r="AE64" s="88">
        <f t="shared" si="26"/>
        <v>224093</v>
      </c>
      <c r="AF64" s="88">
        <f t="shared" si="26"/>
        <v>34834</v>
      </c>
      <c r="AG64" s="88">
        <f t="shared" si="26"/>
        <v>0</v>
      </c>
      <c r="AH64" s="88">
        <f t="shared" si="26"/>
        <v>0</v>
      </c>
      <c r="AI64" s="88">
        <f t="shared" si="26"/>
        <v>0</v>
      </c>
      <c r="AJ64" s="88">
        <f t="shared" si="26"/>
        <v>0</v>
      </c>
      <c r="AK64" s="88">
        <f t="shared" si="26"/>
        <v>0</v>
      </c>
      <c r="AL64" s="88">
        <f t="shared" si="26"/>
        <v>0</v>
      </c>
      <c r="AM64" s="88">
        <f t="shared" si="26"/>
        <v>0</v>
      </c>
      <c r="AN64" s="88">
        <f t="shared" si="26"/>
        <v>0</v>
      </c>
      <c r="AO64" s="88">
        <f t="shared" si="26"/>
        <v>0</v>
      </c>
      <c r="AP64" s="88">
        <f t="shared" si="26"/>
        <v>0</v>
      </c>
      <c r="AQ64" s="88">
        <f t="shared" si="26"/>
        <v>0</v>
      </c>
      <c r="AR64" s="88">
        <f t="shared" si="26"/>
        <v>0</v>
      </c>
      <c r="AS64" s="88">
        <f t="shared" si="26"/>
        <v>0</v>
      </c>
      <c r="AT64" s="88">
        <f t="shared" si="26"/>
        <v>0</v>
      </c>
      <c r="AU64" s="88">
        <f t="shared" si="26"/>
        <v>0</v>
      </c>
      <c r="AV64" s="88">
        <f t="shared" si="26"/>
        <v>0</v>
      </c>
      <c r="AW64" s="88">
        <f t="shared" si="26"/>
        <v>0</v>
      </c>
      <c r="AX64" s="93"/>
      <c r="AY64" s="88">
        <f>SUM(AY55:AY63)</f>
        <v>0</v>
      </c>
    </row>
    <row r="65" spans="1:51" x14ac:dyDescent="0.25">
      <c r="A65" s="54"/>
      <c r="B65" s="60"/>
      <c r="C65" s="87"/>
      <c r="D65" s="87"/>
      <c r="F65" s="87"/>
      <c r="G65" s="56"/>
      <c r="H65" s="59"/>
      <c r="I65" s="59"/>
      <c r="J65" s="179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3"/>
      <c r="AY65" s="92"/>
    </row>
    <row r="66" spans="1:51" x14ac:dyDescent="0.25">
      <c r="A66" s="54" t="s">
        <v>422</v>
      </c>
      <c r="B66" s="60"/>
      <c r="C66" s="87">
        <f>C51+C53+C64</f>
        <v>125491189.0239</v>
      </c>
      <c r="D66" s="87">
        <f>D51+D53+D64</f>
        <v>14622739.43</v>
      </c>
      <c r="E66" s="104"/>
      <c r="F66" s="87">
        <f>F51+F53+F64</f>
        <v>140113928.45389998</v>
      </c>
      <c r="G66" s="87">
        <f>G51+G53+G64</f>
        <v>25883064.623899996</v>
      </c>
      <c r="H66" s="87">
        <f>H51+H53+H64</f>
        <v>114230863.83</v>
      </c>
      <c r="I66" s="59"/>
      <c r="J66" s="184">
        <f t="shared" ref="J66:AW66" si="27">J51+J53+J64</f>
        <v>0</v>
      </c>
      <c r="K66" s="103">
        <f t="shared" si="27"/>
        <v>401394.66000000003</v>
      </c>
      <c r="L66" s="103">
        <f t="shared" si="27"/>
        <v>217821.72</v>
      </c>
      <c r="M66" s="103"/>
      <c r="N66" s="103">
        <f t="shared" ref="N66" si="28">N51+N53+N64</f>
        <v>619216.38</v>
      </c>
      <c r="O66" s="103"/>
      <c r="P66" s="103">
        <f t="shared" si="27"/>
        <v>26502281.003899999</v>
      </c>
      <c r="Q66" s="103">
        <f t="shared" si="27"/>
        <v>14763662</v>
      </c>
      <c r="R66" s="103">
        <f t="shared" si="27"/>
        <v>861558.36</v>
      </c>
      <c r="S66" s="103">
        <f t="shared" si="27"/>
        <v>349171</v>
      </c>
      <c r="T66" s="103">
        <f t="shared" si="27"/>
        <v>7887880</v>
      </c>
      <c r="U66" s="103">
        <f t="shared" si="27"/>
        <v>5985628</v>
      </c>
      <c r="V66" s="103">
        <f t="shared" si="27"/>
        <v>5245711.5</v>
      </c>
      <c r="W66" s="103">
        <f t="shared" si="27"/>
        <v>7468482</v>
      </c>
      <c r="X66" s="103">
        <f t="shared" si="27"/>
        <v>6745434</v>
      </c>
      <c r="Y66" s="103">
        <f t="shared" si="27"/>
        <v>10515446</v>
      </c>
      <c r="Z66" s="103">
        <f t="shared" si="27"/>
        <v>7458400</v>
      </c>
      <c r="AA66" s="103">
        <f t="shared" si="27"/>
        <v>6625523</v>
      </c>
      <c r="AB66" s="103">
        <f t="shared" si="27"/>
        <v>9014329</v>
      </c>
      <c r="AC66" s="103">
        <f t="shared" si="27"/>
        <v>7839752</v>
      </c>
      <c r="AD66" s="103">
        <f t="shared" si="27"/>
        <v>7484311</v>
      </c>
      <c r="AE66" s="103">
        <f t="shared" si="27"/>
        <v>7011144.5</v>
      </c>
      <c r="AF66" s="103">
        <f t="shared" si="27"/>
        <v>3085451</v>
      </c>
      <c r="AG66" s="103">
        <f t="shared" si="27"/>
        <v>2624422</v>
      </c>
      <c r="AH66" s="103">
        <f t="shared" si="27"/>
        <v>2645342</v>
      </c>
      <c r="AI66" s="103">
        <f t="shared" si="27"/>
        <v>0</v>
      </c>
      <c r="AJ66" s="103">
        <f t="shared" si="27"/>
        <v>0</v>
      </c>
      <c r="AK66" s="103">
        <f t="shared" si="27"/>
        <v>0</v>
      </c>
      <c r="AL66" s="103">
        <f t="shared" si="27"/>
        <v>0</v>
      </c>
      <c r="AM66" s="103">
        <f t="shared" si="27"/>
        <v>0</v>
      </c>
      <c r="AN66" s="103">
        <f t="shared" si="27"/>
        <v>0</v>
      </c>
      <c r="AO66" s="103">
        <f t="shared" si="27"/>
        <v>0</v>
      </c>
      <c r="AP66" s="103">
        <f t="shared" si="27"/>
        <v>0</v>
      </c>
      <c r="AQ66" s="103">
        <f t="shared" si="27"/>
        <v>0</v>
      </c>
      <c r="AR66" s="103">
        <f t="shared" si="27"/>
        <v>0</v>
      </c>
      <c r="AS66" s="103">
        <f t="shared" si="27"/>
        <v>0</v>
      </c>
      <c r="AT66" s="103">
        <f t="shared" si="27"/>
        <v>0</v>
      </c>
      <c r="AU66" s="103">
        <f t="shared" si="27"/>
        <v>0</v>
      </c>
      <c r="AV66" s="103">
        <f t="shared" si="27"/>
        <v>0</v>
      </c>
      <c r="AW66" s="103">
        <f t="shared" si="27"/>
        <v>0</v>
      </c>
      <c r="AX66" s="93"/>
      <c r="AY66" s="88">
        <f>SUM(AY58:AY65)</f>
        <v>0</v>
      </c>
    </row>
    <row r="67" spans="1:51" x14ac:dyDescent="0.25">
      <c r="A67" s="54"/>
      <c r="B67" s="60"/>
      <c r="C67" s="87"/>
      <c r="D67" s="87"/>
      <c r="F67" s="87"/>
      <c r="G67" s="56"/>
      <c r="H67" s="87"/>
      <c r="I67" s="59"/>
      <c r="J67" s="71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93"/>
      <c r="AY67" s="92"/>
    </row>
    <row r="68" spans="1:51" x14ac:dyDescent="0.25">
      <c r="A68" s="54" t="s">
        <v>558</v>
      </c>
      <c r="B68" s="60">
        <v>0.1</v>
      </c>
      <c r="D68" s="87"/>
      <c r="E68" s="57"/>
      <c r="F68" s="87">
        <f>-F66*B68</f>
        <v>-14011392.845389999</v>
      </c>
      <c r="G68" s="59"/>
      <c r="H68" s="58">
        <f>F68-G68</f>
        <v>-14011392.845389999</v>
      </c>
      <c r="I68" s="58"/>
      <c r="J68" s="179">
        <f>IF(H68&gt;0,'Interest Reserve (TBD)'!F12,0)</f>
        <v>0</v>
      </c>
      <c r="K68" s="92">
        <f>IF(I68&gt;0,'Interest Reserve (TBD)'!G12,0)</f>
        <v>0</v>
      </c>
      <c r="L68" s="92"/>
      <c r="M68" s="92"/>
      <c r="N68" s="92"/>
      <c r="O68" s="92"/>
      <c r="P68" s="92">
        <f>H68</f>
        <v>-14011392.845389999</v>
      </c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>
        <f>IF(AH68&gt;0,'Interest Reserve (TBD)'!AD12,0)</f>
        <v>0</v>
      </c>
      <c r="AM68" s="92">
        <f>IF(AI68&gt;0,'Interest Reserve (TBD)'!AE12,0)</f>
        <v>0</v>
      </c>
      <c r="AN68" s="92">
        <f>IF(AJ68&gt;0,'Interest Reserve (TBD)'!AF12,0)</f>
        <v>0</v>
      </c>
      <c r="AO68" s="92">
        <f>IF(AK68&gt;0,'Interest Reserve (TBD)'!AG12,0)</f>
        <v>0</v>
      </c>
      <c r="AP68" s="92">
        <f>IF(AL68&gt;0,'Interest Reserve (TBD)'!AH12,0)</f>
        <v>0</v>
      </c>
      <c r="AQ68" s="92">
        <f>IF(AM68&gt;0,'Interest Reserve (TBD)'!AI12,0)</f>
        <v>0</v>
      </c>
      <c r="AR68" s="92">
        <f>'Interest Reserve (TBD)'!AJ12</f>
        <v>0</v>
      </c>
      <c r="AS68" s="92">
        <f>'Interest Reserve (TBD)'!AK12</f>
        <v>0</v>
      </c>
      <c r="AT68" s="92">
        <f>'Interest Reserve (TBD)'!AL12</f>
        <v>0</v>
      </c>
      <c r="AU68" s="92">
        <f>'Interest Reserve (TBD)'!AM12</f>
        <v>0</v>
      </c>
      <c r="AV68" s="92">
        <f>'Interest Reserve (TBD)'!AN12</f>
        <v>0</v>
      </c>
      <c r="AW68" s="92">
        <f>'Interest Reserve (TBD)'!AO12</f>
        <v>0</v>
      </c>
      <c r="AX68" s="93"/>
      <c r="AY68" s="58">
        <f>F68-SUM(J68:AX68)</f>
        <v>0</v>
      </c>
    </row>
    <row r="69" spans="1:51" x14ac:dyDescent="0.25">
      <c r="A69" s="54" t="s">
        <v>553</v>
      </c>
      <c r="B69" s="63"/>
      <c r="D69" s="87"/>
      <c r="E69" s="57"/>
      <c r="F69" s="87">
        <f>-F56</f>
        <v>-5303937</v>
      </c>
      <c r="G69" s="59"/>
      <c r="H69" s="58">
        <f>F69-G69</f>
        <v>-5303937</v>
      </c>
      <c r="I69" s="58"/>
      <c r="J69" s="179"/>
      <c r="K69" s="92"/>
      <c r="L69" s="92"/>
      <c r="M69" s="92"/>
      <c r="N69" s="92"/>
      <c r="O69" s="92"/>
      <c r="P69" s="92"/>
      <c r="Q69" s="92">
        <f>'Operating Costs'!D72</f>
        <v>-328057</v>
      </c>
      <c r="R69" s="92">
        <f>'Operating Costs'!E72</f>
        <v>-431056.5</v>
      </c>
      <c r="S69" s="92">
        <f>'Operating Costs'!F72</f>
        <v>-296671</v>
      </c>
      <c r="T69" s="92">
        <f>'Operating Costs'!G72</f>
        <v>-408546</v>
      </c>
      <c r="U69" s="92">
        <f>'Operating Costs'!H72</f>
        <v>-342481</v>
      </c>
      <c r="V69" s="92">
        <f>'Operating Costs'!I72</f>
        <v>-382069</v>
      </c>
      <c r="W69" s="92">
        <f>'Operating Costs'!J72</f>
        <v>-314569</v>
      </c>
      <c r="X69" s="92">
        <f>'Operating Costs'!K72</f>
        <v>-328301</v>
      </c>
      <c r="Y69" s="92">
        <f>'Operating Costs'!L72</f>
        <v>-566099</v>
      </c>
      <c r="Z69" s="92">
        <f>'Operating Costs'!M72</f>
        <v>-486789.5</v>
      </c>
      <c r="AA69" s="92">
        <f>'Operating Costs'!N72</f>
        <v>-266276</v>
      </c>
      <c r="AB69" s="92">
        <f>'Operating Costs'!O72</f>
        <v>-375617</v>
      </c>
      <c r="AC69" s="92">
        <f>'Operating Costs'!P72</f>
        <v>-269181</v>
      </c>
      <c r="AD69" s="92">
        <f>'Operating Costs'!Q72</f>
        <v>-249297</v>
      </c>
      <c r="AE69" s="92">
        <f>'Operating Costs'!R72</f>
        <v>-224093</v>
      </c>
      <c r="AF69" s="92">
        <f>'Operating Costs'!S72</f>
        <v>-34834</v>
      </c>
      <c r="AG69" s="92">
        <f>'Operating Costs'!T72</f>
        <v>0</v>
      </c>
      <c r="AH69" s="92">
        <f>'Operating Costs'!U72</f>
        <v>0</v>
      </c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3"/>
      <c r="AY69" s="58">
        <f>F69-SUM(J69:AX69)</f>
        <v>0</v>
      </c>
    </row>
    <row r="70" spans="1:51" x14ac:dyDescent="0.25">
      <c r="A70" s="54"/>
      <c r="B70" s="54"/>
      <c r="G70" s="57"/>
      <c r="H70" s="57"/>
      <c r="I70" s="59"/>
      <c r="J70" s="179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3"/>
      <c r="AY70" s="203"/>
    </row>
    <row r="71" spans="1:51" s="105" customFormat="1" ht="15.75" thickBot="1" x14ac:dyDescent="0.3">
      <c r="A71" s="105" t="s">
        <v>425</v>
      </c>
      <c r="C71" s="115">
        <f>C66+C68</f>
        <v>125491189.0239</v>
      </c>
      <c r="D71" s="115">
        <f>D66+D68</f>
        <v>14622739.43</v>
      </c>
      <c r="E71" s="107"/>
      <c r="F71" s="115">
        <f>F66+F68+F69</f>
        <v>120798598.60850999</v>
      </c>
      <c r="G71" s="115">
        <f>G66+G68+G69</f>
        <v>25883064.623899996</v>
      </c>
      <c r="H71" s="115">
        <f>H66+H68+H69</f>
        <v>94915533.984609991</v>
      </c>
      <c r="I71" s="108"/>
      <c r="J71" s="185">
        <f>J66+J68+J69</f>
        <v>0</v>
      </c>
      <c r="K71" s="106">
        <f>K66+K68+K69</f>
        <v>401394.66000000003</v>
      </c>
      <c r="L71" s="106">
        <f>L66+L68+L69</f>
        <v>217821.72</v>
      </c>
      <c r="M71" s="176"/>
      <c r="N71" s="106">
        <f>N66+N68+N69</f>
        <v>619216.38</v>
      </c>
      <c r="O71" s="176"/>
      <c r="P71" s="106">
        <f>P66+P68+P69</f>
        <v>12490888.15851</v>
      </c>
      <c r="Q71" s="106">
        <f t="shared" ref="Q71:AK71" si="29">Q66+Q68+Q69</f>
        <v>14435605</v>
      </c>
      <c r="R71" s="106">
        <f t="shared" si="29"/>
        <v>430501.86</v>
      </c>
      <c r="S71" s="106">
        <f t="shared" si="29"/>
        <v>52500</v>
      </c>
      <c r="T71" s="106">
        <f t="shared" si="29"/>
        <v>7479334</v>
      </c>
      <c r="U71" s="106">
        <f t="shared" si="29"/>
        <v>5643147</v>
      </c>
      <c r="V71" s="106">
        <f t="shared" si="29"/>
        <v>4863642.5</v>
      </c>
      <c r="W71" s="106">
        <f t="shared" si="29"/>
        <v>7153913</v>
      </c>
      <c r="X71" s="106">
        <f t="shared" si="29"/>
        <v>6417133</v>
      </c>
      <c r="Y71" s="106">
        <f t="shared" si="29"/>
        <v>9949347</v>
      </c>
      <c r="Z71" s="106">
        <f t="shared" si="29"/>
        <v>6971610.5</v>
      </c>
      <c r="AA71" s="106">
        <f t="shared" si="29"/>
        <v>6359247</v>
      </c>
      <c r="AB71" s="106">
        <f t="shared" si="29"/>
        <v>8638712</v>
      </c>
      <c r="AC71" s="106">
        <f t="shared" si="29"/>
        <v>7570571</v>
      </c>
      <c r="AD71" s="106">
        <f t="shared" si="29"/>
        <v>7235014</v>
      </c>
      <c r="AE71" s="106">
        <f t="shared" si="29"/>
        <v>6787051.5</v>
      </c>
      <c r="AF71" s="106">
        <f t="shared" si="29"/>
        <v>3050617</v>
      </c>
      <c r="AG71" s="106">
        <f t="shared" si="29"/>
        <v>2624422</v>
      </c>
      <c r="AH71" s="106">
        <f t="shared" si="29"/>
        <v>2645342</v>
      </c>
      <c r="AI71" s="106">
        <f t="shared" si="29"/>
        <v>0</v>
      </c>
      <c r="AJ71" s="106">
        <f t="shared" si="29"/>
        <v>0</v>
      </c>
      <c r="AK71" s="106">
        <f t="shared" si="29"/>
        <v>0</v>
      </c>
      <c r="AL71" s="106">
        <f t="shared" ref="AL71:AW71" si="30">AL66+AL68</f>
        <v>0</v>
      </c>
      <c r="AM71" s="106">
        <f t="shared" si="30"/>
        <v>0</v>
      </c>
      <c r="AN71" s="106">
        <f t="shared" si="30"/>
        <v>0</v>
      </c>
      <c r="AO71" s="106">
        <f t="shared" si="30"/>
        <v>0</v>
      </c>
      <c r="AP71" s="106">
        <f t="shared" si="30"/>
        <v>0</v>
      </c>
      <c r="AQ71" s="106">
        <f t="shared" si="30"/>
        <v>0</v>
      </c>
      <c r="AR71" s="106">
        <f t="shared" si="30"/>
        <v>0</v>
      </c>
      <c r="AS71" s="106">
        <f t="shared" si="30"/>
        <v>0</v>
      </c>
      <c r="AT71" s="106">
        <f t="shared" si="30"/>
        <v>0</v>
      </c>
      <c r="AU71" s="106">
        <f t="shared" si="30"/>
        <v>0</v>
      </c>
      <c r="AV71" s="106">
        <f t="shared" si="30"/>
        <v>0</v>
      </c>
      <c r="AW71" s="106">
        <f t="shared" si="30"/>
        <v>0</v>
      </c>
      <c r="AX71" s="109"/>
      <c r="AY71" s="110">
        <f t="shared" ref="AY71" si="31">AY66+AY68+AY69</f>
        <v>0</v>
      </c>
    </row>
    <row r="72" spans="1:51" ht="16.5" thickTop="1" thickBot="1" x14ac:dyDescent="0.3">
      <c r="A72" s="54"/>
      <c r="B72" s="54"/>
      <c r="D72" s="87"/>
      <c r="E72" s="57"/>
      <c r="F72" s="87"/>
      <c r="G72" s="59"/>
      <c r="H72" s="58"/>
      <c r="I72" s="58"/>
      <c r="J72" s="186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5"/>
    </row>
    <row r="73" spans="1:51" x14ac:dyDescent="0.25">
      <c r="A73" s="54"/>
      <c r="C73" s="87"/>
      <c r="D73" s="87"/>
      <c r="E73" s="56"/>
      <c r="F73" s="87" t="s">
        <v>524</v>
      </c>
      <c r="G73" s="58">
        <f>G19+G24+G28-D28+SUM(G29:G41)+'ILM FF&amp;E'!H61</f>
        <v>16916290.353899997</v>
      </c>
    </row>
    <row r="74" spans="1:51" x14ac:dyDescent="0.25">
      <c r="C74" s="87"/>
      <c r="D74" s="87"/>
      <c r="E74" s="56"/>
      <c r="F74" s="87" t="s">
        <v>525</v>
      </c>
      <c r="G74" s="58">
        <f>G27+D28+G48+'12. 805 FF&amp;E'!E52</f>
        <v>3980356.3500000006</v>
      </c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</row>
    <row r="75" spans="1:51" x14ac:dyDescent="0.25">
      <c r="C75" s="87"/>
      <c r="D75" s="87"/>
      <c r="E75" s="56"/>
      <c r="F75" s="87" t="s">
        <v>473</v>
      </c>
      <c r="G75" s="58">
        <f>G49</f>
        <v>3644650</v>
      </c>
    </row>
    <row r="76" spans="1:51" x14ac:dyDescent="0.25">
      <c r="C76" s="87"/>
      <c r="D76" s="87"/>
      <c r="E76" s="56"/>
      <c r="F76" s="87" t="s">
        <v>526</v>
      </c>
      <c r="G76" s="58">
        <f>G62</f>
        <v>1341767.92</v>
      </c>
    </row>
    <row r="78" spans="1:51" ht="15.75" thickBot="1" x14ac:dyDescent="0.3">
      <c r="G78" s="165">
        <f>SUM(G73:G77)</f>
        <v>25883064.623899996</v>
      </c>
    </row>
    <row r="79" spans="1:51" ht="15.75" thickTop="1" x14ac:dyDescent="0.25"/>
  </sheetData>
  <mergeCells count="2">
    <mergeCell ref="P5:Q5"/>
    <mergeCell ref="J5:N5"/>
  </mergeCells>
  <pageMargins left="0.28999999999999998" right="0.3" top="0.25" bottom="0.25" header="0.17" footer="0.17"/>
  <pageSetup scale="60" fitToHeight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71E0-A6AC-40B5-ABAA-D06823089BF4}">
  <sheetPr>
    <tabColor rgb="FF00B050"/>
  </sheetPr>
  <dimension ref="A1:F72"/>
  <sheetViews>
    <sheetView topLeftCell="A31" workbookViewId="0">
      <selection activeCell="A47" sqref="A47:XFD47"/>
    </sheetView>
  </sheetViews>
  <sheetFormatPr defaultColWidth="9.140625" defaultRowHeight="15" x14ac:dyDescent="0.25"/>
  <cols>
    <col min="1" max="1" width="31.42578125" style="54" bestFit="1" customWidth="1"/>
    <col min="2" max="2" width="25.140625" style="69" bestFit="1" customWidth="1"/>
    <col min="3" max="3" width="14.7109375" style="69" customWidth="1"/>
    <col min="4" max="4" width="14" style="55" bestFit="1" customWidth="1"/>
    <col min="5" max="6" width="14" style="163" bestFit="1" customWidth="1"/>
    <col min="7" max="16384" width="9.140625" style="54"/>
  </cols>
  <sheetData>
    <row r="1" spans="1:6" x14ac:dyDescent="0.25">
      <c r="A1" s="54" t="s">
        <v>289</v>
      </c>
    </row>
    <row r="2" spans="1:6" x14ac:dyDescent="0.25">
      <c r="A2" s="54" t="s">
        <v>442</v>
      </c>
    </row>
    <row r="3" spans="1:6" ht="15.75" thickBot="1" x14ac:dyDescent="0.3">
      <c r="A3" s="54" t="s">
        <v>410</v>
      </c>
    </row>
    <row r="4" spans="1:6" ht="15.75" thickBot="1" x14ac:dyDescent="0.3">
      <c r="E4" s="224" t="s">
        <v>528</v>
      </c>
      <c r="F4" s="225"/>
    </row>
    <row r="5" spans="1:6" s="66" customFormat="1" ht="12.75" x14ac:dyDescent="0.2">
      <c r="A5" s="66" t="s">
        <v>403</v>
      </c>
      <c r="B5" s="85" t="s">
        <v>404</v>
      </c>
      <c r="C5" s="2" t="s">
        <v>27</v>
      </c>
      <c r="D5" s="68"/>
      <c r="E5" s="2" t="s">
        <v>523</v>
      </c>
      <c r="F5" s="2" t="s">
        <v>163</v>
      </c>
    </row>
    <row r="6" spans="1:6" x14ac:dyDescent="0.25">
      <c r="A6" s="54" t="s">
        <v>334</v>
      </c>
      <c r="B6" s="69" t="s">
        <v>374</v>
      </c>
      <c r="C6" s="3">
        <v>8743779</v>
      </c>
      <c r="E6" s="3">
        <v>3083495</v>
      </c>
      <c r="F6" s="3">
        <f>2965558+40535</f>
        <v>3006093</v>
      </c>
    </row>
    <row r="7" spans="1:6" x14ac:dyDescent="0.25">
      <c r="A7" s="54" t="s">
        <v>335</v>
      </c>
      <c r="B7" s="69" t="s">
        <v>375</v>
      </c>
      <c r="C7" s="3">
        <v>9366643</v>
      </c>
      <c r="E7" s="3">
        <v>1428106</v>
      </c>
      <c r="F7" s="3">
        <v>1428106</v>
      </c>
    </row>
    <row r="8" spans="1:6" x14ac:dyDescent="0.25">
      <c r="A8" s="54" t="s">
        <v>336</v>
      </c>
      <c r="B8" s="69" t="s">
        <v>376</v>
      </c>
      <c r="C8" s="3">
        <v>2678582</v>
      </c>
      <c r="E8" s="3">
        <v>774869</v>
      </c>
      <c r="F8" s="3">
        <v>678604</v>
      </c>
    </row>
    <row r="9" spans="1:6" x14ac:dyDescent="0.25">
      <c r="A9" s="54" t="s">
        <v>337</v>
      </c>
      <c r="B9" s="69" t="s">
        <v>377</v>
      </c>
      <c r="C9" s="3">
        <v>5394185</v>
      </c>
      <c r="E9" s="3">
        <v>4400310</v>
      </c>
      <c r="F9" s="3">
        <v>972529</v>
      </c>
    </row>
    <row r="10" spans="1:6" x14ac:dyDescent="0.25">
      <c r="A10" s="54" t="s">
        <v>338</v>
      </c>
      <c r="B10" s="69" t="s">
        <v>378</v>
      </c>
      <c r="C10" s="3">
        <v>3044800</v>
      </c>
      <c r="E10" s="3">
        <v>32000</v>
      </c>
      <c r="F10" s="3">
        <v>32000</v>
      </c>
    </row>
    <row r="11" spans="1:6" x14ac:dyDescent="0.25">
      <c r="A11" s="54" t="s">
        <v>339</v>
      </c>
      <c r="B11" s="69" t="s">
        <v>379</v>
      </c>
      <c r="C11" s="3">
        <v>4484025</v>
      </c>
      <c r="E11" s="3">
        <v>115326</v>
      </c>
      <c r="F11" s="3">
        <v>115326</v>
      </c>
    </row>
    <row r="12" spans="1:6" x14ac:dyDescent="0.25">
      <c r="A12" s="54" t="s">
        <v>340</v>
      </c>
      <c r="B12" s="69" t="s">
        <v>393</v>
      </c>
      <c r="C12" s="3">
        <v>945296</v>
      </c>
      <c r="E12" s="3">
        <v>945296</v>
      </c>
      <c r="F12" s="3">
        <v>945296</v>
      </c>
    </row>
    <row r="13" spans="1:6" x14ac:dyDescent="0.25">
      <c r="A13" s="54" t="s">
        <v>340</v>
      </c>
      <c r="B13" s="69" t="s">
        <v>380</v>
      </c>
      <c r="C13" s="3">
        <v>7750000</v>
      </c>
      <c r="E13" s="3"/>
      <c r="F13" s="3"/>
    </row>
    <row r="14" spans="1:6" x14ac:dyDescent="0.25">
      <c r="A14" s="54" t="s">
        <v>341</v>
      </c>
      <c r="B14" s="69" t="s">
        <v>381</v>
      </c>
      <c r="C14" s="3">
        <v>2200080</v>
      </c>
      <c r="E14" s="3">
        <v>22750</v>
      </c>
      <c r="F14" s="3">
        <v>22750</v>
      </c>
    </row>
    <row r="15" spans="1:6" x14ac:dyDescent="0.25">
      <c r="A15" s="54" t="s">
        <v>342</v>
      </c>
      <c r="B15" s="69" t="s">
        <v>382</v>
      </c>
      <c r="C15" s="3">
        <v>129100</v>
      </c>
      <c r="E15" s="3"/>
      <c r="F15" s="3"/>
    </row>
    <row r="16" spans="1:6" x14ac:dyDescent="0.25">
      <c r="A16" s="54" t="s">
        <v>343</v>
      </c>
      <c r="B16" s="69" t="s">
        <v>383</v>
      </c>
      <c r="C16" s="3">
        <v>144000</v>
      </c>
      <c r="E16" s="3"/>
      <c r="F16" s="3"/>
    </row>
    <row r="17" spans="1:6" x14ac:dyDescent="0.25">
      <c r="A17" s="54" t="s">
        <v>344</v>
      </c>
      <c r="C17" s="3">
        <v>1740850</v>
      </c>
      <c r="E17" s="3"/>
      <c r="F17" s="3"/>
    </row>
    <row r="18" spans="1:6" x14ac:dyDescent="0.25">
      <c r="A18" s="54" t="s">
        <v>345</v>
      </c>
      <c r="B18" s="69" t="s">
        <v>384</v>
      </c>
      <c r="C18" s="3">
        <v>305377</v>
      </c>
      <c r="E18" s="3"/>
      <c r="F18" s="3"/>
    </row>
    <row r="19" spans="1:6" x14ac:dyDescent="0.25">
      <c r="A19" s="54" t="s">
        <v>346</v>
      </c>
      <c r="C19" s="3">
        <v>262462</v>
      </c>
      <c r="E19" s="3"/>
      <c r="F19" s="3"/>
    </row>
    <row r="20" spans="1:6" x14ac:dyDescent="0.25">
      <c r="A20" s="54" t="s">
        <v>347</v>
      </c>
      <c r="C20" s="3">
        <v>765180</v>
      </c>
      <c r="E20" s="3"/>
      <c r="F20" s="3"/>
    </row>
    <row r="21" spans="1:6" x14ac:dyDescent="0.25">
      <c r="A21" s="54" t="s">
        <v>348</v>
      </c>
      <c r="B21" s="69" t="s">
        <v>385</v>
      </c>
      <c r="C21" s="3">
        <v>991500</v>
      </c>
      <c r="E21" s="3"/>
      <c r="F21" s="3"/>
    </row>
    <row r="22" spans="1:6" x14ac:dyDescent="0.25">
      <c r="A22" s="54" t="s">
        <v>349</v>
      </c>
      <c r="B22" s="69" t="s">
        <v>385</v>
      </c>
      <c r="C22" s="3">
        <v>264640</v>
      </c>
      <c r="E22" s="3"/>
      <c r="F22" s="3"/>
    </row>
    <row r="23" spans="1:6" x14ac:dyDescent="0.25">
      <c r="A23" s="54" t="s">
        <v>350</v>
      </c>
      <c r="B23" s="69" t="s">
        <v>386</v>
      </c>
      <c r="C23" s="3">
        <v>175000</v>
      </c>
      <c r="E23" s="3"/>
      <c r="F23" s="3"/>
    </row>
    <row r="24" spans="1:6" x14ac:dyDescent="0.25">
      <c r="A24" s="54" t="s">
        <v>351</v>
      </c>
      <c r="C24" s="3">
        <v>150000</v>
      </c>
      <c r="E24" s="3"/>
      <c r="F24" s="3"/>
    </row>
    <row r="25" spans="1:6" x14ac:dyDescent="0.25">
      <c r="A25" s="54" t="s">
        <v>126</v>
      </c>
      <c r="B25" s="69" t="s">
        <v>384</v>
      </c>
      <c r="C25" s="3">
        <v>288367</v>
      </c>
      <c r="E25" s="3"/>
      <c r="F25" s="3"/>
    </row>
    <row r="26" spans="1:6" x14ac:dyDescent="0.25">
      <c r="A26" s="54" t="s">
        <v>352</v>
      </c>
      <c r="B26" s="69" t="s">
        <v>385</v>
      </c>
      <c r="C26" s="3">
        <v>129400</v>
      </c>
      <c r="E26" s="3"/>
      <c r="F26" s="3"/>
    </row>
    <row r="27" spans="1:6" x14ac:dyDescent="0.25">
      <c r="A27" s="54" t="s">
        <v>353</v>
      </c>
      <c r="C27" s="3">
        <v>229032</v>
      </c>
      <c r="E27" s="3"/>
      <c r="F27" s="3"/>
    </row>
    <row r="28" spans="1:6" x14ac:dyDescent="0.25">
      <c r="A28" s="54" t="s">
        <v>354</v>
      </c>
      <c r="B28" s="69" t="s">
        <v>385</v>
      </c>
      <c r="C28" s="3">
        <v>72850</v>
      </c>
      <c r="E28" s="3"/>
      <c r="F28" s="3"/>
    </row>
    <row r="29" spans="1:6" x14ac:dyDescent="0.25">
      <c r="A29" s="54" t="s">
        <v>355</v>
      </c>
      <c r="B29" s="69" t="s">
        <v>387</v>
      </c>
      <c r="C29" s="3">
        <v>149788</v>
      </c>
      <c r="E29" s="3">
        <v>62411</v>
      </c>
      <c r="F29" s="3">
        <v>62411</v>
      </c>
    </row>
    <row r="30" spans="1:6" x14ac:dyDescent="0.25">
      <c r="A30" s="54" t="s">
        <v>356</v>
      </c>
      <c r="B30" s="69" t="s">
        <v>388</v>
      </c>
      <c r="C30" s="3">
        <v>1060812</v>
      </c>
      <c r="E30" s="3">
        <v>218287</v>
      </c>
      <c r="F30" s="3">
        <v>218287</v>
      </c>
    </row>
    <row r="31" spans="1:6" x14ac:dyDescent="0.25">
      <c r="A31" s="54" t="s">
        <v>357</v>
      </c>
      <c r="B31" s="69" t="s">
        <v>388</v>
      </c>
      <c r="C31" s="3">
        <v>3241329</v>
      </c>
      <c r="E31" s="3">
        <v>943628</v>
      </c>
      <c r="F31" s="3">
        <f>181054+55000</f>
        <v>236054</v>
      </c>
    </row>
    <row r="32" spans="1:6" x14ac:dyDescent="0.25">
      <c r="A32" s="54" t="s">
        <v>358</v>
      </c>
      <c r="C32" s="3">
        <v>6384849</v>
      </c>
      <c r="E32" s="3">
        <v>1512015</v>
      </c>
      <c r="F32" s="3">
        <f>494817</f>
        <v>494817</v>
      </c>
    </row>
    <row r="33" spans="1:6" x14ac:dyDescent="0.25">
      <c r="A33" s="54" t="s">
        <v>359</v>
      </c>
      <c r="B33" s="69" t="s">
        <v>389</v>
      </c>
      <c r="C33" s="3">
        <v>1801846</v>
      </c>
      <c r="E33" s="3">
        <v>1792846</v>
      </c>
      <c r="F33" s="3"/>
    </row>
    <row r="34" spans="1:6" x14ac:dyDescent="0.25">
      <c r="A34" s="54" t="s">
        <v>360</v>
      </c>
      <c r="B34" s="69" t="s">
        <v>390</v>
      </c>
      <c r="C34" s="3">
        <v>332431</v>
      </c>
      <c r="E34" s="3">
        <v>277108</v>
      </c>
      <c r="F34" s="3">
        <v>277108</v>
      </c>
    </row>
    <row r="35" spans="1:6" x14ac:dyDescent="0.25">
      <c r="A35" s="54" t="s">
        <v>361</v>
      </c>
      <c r="C35" s="3">
        <v>300000</v>
      </c>
    </row>
    <row r="36" spans="1:6" x14ac:dyDescent="0.25">
      <c r="A36" s="83" t="s">
        <v>362</v>
      </c>
      <c r="B36" s="77"/>
      <c r="C36" s="78">
        <f>SUM(C6:C35)</f>
        <v>63526203</v>
      </c>
      <c r="D36" s="55" t="s">
        <v>401</v>
      </c>
      <c r="E36" s="88">
        <f>SUM(E6:E35)</f>
        <v>15608447</v>
      </c>
      <c r="F36" s="88">
        <f>SUM(F6:F35)</f>
        <v>8489381</v>
      </c>
    </row>
    <row r="37" spans="1:6" x14ac:dyDescent="0.25">
      <c r="C37" s="3"/>
    </row>
    <row r="38" spans="1:6" x14ac:dyDescent="0.25">
      <c r="A38" s="54" t="s">
        <v>290</v>
      </c>
      <c r="C38" s="3">
        <v>3333060</v>
      </c>
      <c r="E38" s="163">
        <v>1420510</v>
      </c>
      <c r="F38" s="163">
        <v>1420510</v>
      </c>
    </row>
    <row r="39" spans="1:6" x14ac:dyDescent="0.25">
      <c r="A39" s="54" t="s">
        <v>363</v>
      </c>
      <c r="C39" s="3">
        <v>1234942</v>
      </c>
      <c r="E39" s="163">
        <v>977774</v>
      </c>
      <c r="F39" s="163">
        <f>881232+43001</f>
        <v>924233</v>
      </c>
    </row>
    <row r="40" spans="1:6" x14ac:dyDescent="0.25">
      <c r="A40" s="83" t="s">
        <v>365</v>
      </c>
      <c r="B40" s="77"/>
      <c r="C40" s="78">
        <f>SUM(C38:C39)</f>
        <v>4568002</v>
      </c>
      <c r="D40" s="55" t="s">
        <v>402</v>
      </c>
      <c r="E40" s="88">
        <f>SUM(E38:E39)</f>
        <v>2398284</v>
      </c>
      <c r="F40" s="88">
        <f>SUM(F38:F39)</f>
        <v>2344743</v>
      </c>
    </row>
    <row r="41" spans="1:6" x14ac:dyDescent="0.25">
      <c r="C41" s="3"/>
    </row>
    <row r="42" spans="1:6" x14ac:dyDescent="0.25">
      <c r="A42" s="70" t="s">
        <v>291</v>
      </c>
      <c r="C42" s="3"/>
    </row>
    <row r="43" spans="1:6" x14ac:dyDescent="0.25">
      <c r="A43" s="54" t="s">
        <v>230</v>
      </c>
      <c r="C43" s="3">
        <v>241901</v>
      </c>
      <c r="E43" s="163">
        <v>191901</v>
      </c>
      <c r="F43" s="163">
        <f>130056+61845</f>
        <v>191901</v>
      </c>
    </row>
    <row r="44" spans="1:6" x14ac:dyDescent="0.25">
      <c r="A44" s="54" t="s">
        <v>394</v>
      </c>
      <c r="C44" s="3">
        <v>100000</v>
      </c>
    </row>
    <row r="45" spans="1:6" x14ac:dyDescent="0.25">
      <c r="A45" s="54" t="s">
        <v>395</v>
      </c>
      <c r="C45" s="3">
        <v>50000</v>
      </c>
    </row>
    <row r="46" spans="1:6" x14ac:dyDescent="0.25">
      <c r="A46" s="54" t="s">
        <v>565</v>
      </c>
      <c r="B46" s="69" t="s">
        <v>391</v>
      </c>
      <c r="C46" s="3">
        <v>1000000</v>
      </c>
    </row>
    <row r="47" spans="1:6" x14ac:dyDescent="0.25">
      <c r="A47" s="54" t="s">
        <v>396</v>
      </c>
      <c r="C47" s="3">
        <v>500000</v>
      </c>
    </row>
    <row r="48" spans="1:6" x14ac:dyDescent="0.25">
      <c r="A48" s="54" t="s">
        <v>397</v>
      </c>
      <c r="B48" s="69" t="s">
        <v>392</v>
      </c>
      <c r="C48" s="3">
        <v>5585713</v>
      </c>
    </row>
    <row r="49" spans="1:6" x14ac:dyDescent="0.25">
      <c r="A49" s="54" t="s">
        <v>398</v>
      </c>
      <c r="C49" s="3">
        <v>160000</v>
      </c>
    </row>
    <row r="50" spans="1:6" x14ac:dyDescent="0.25">
      <c r="A50" s="54" t="s">
        <v>399</v>
      </c>
      <c r="C50" s="3">
        <v>35000</v>
      </c>
    </row>
    <row r="51" spans="1:6" x14ac:dyDescent="0.25">
      <c r="A51" s="54" t="s">
        <v>409</v>
      </c>
      <c r="C51" s="3">
        <v>85000</v>
      </c>
    </row>
    <row r="52" spans="1:6" x14ac:dyDescent="0.25">
      <c r="A52" s="54" t="s">
        <v>400</v>
      </c>
      <c r="C52" s="3">
        <v>500000</v>
      </c>
    </row>
    <row r="53" spans="1:6" ht="15.75" thickBot="1" x14ac:dyDescent="0.3">
      <c r="A53" s="83" t="s">
        <v>364</v>
      </c>
      <c r="B53" s="77"/>
      <c r="C53" s="79">
        <f>SUM(C42:C52)</f>
        <v>8257614</v>
      </c>
      <c r="D53" s="55" t="s">
        <v>401</v>
      </c>
      <c r="E53" s="88">
        <f>SUM(E43:E52)</f>
        <v>191901</v>
      </c>
      <c r="F53" s="88">
        <f>SUM(F43:F52)</f>
        <v>191901</v>
      </c>
    </row>
    <row r="54" spans="1:6" ht="15.75" thickBot="1" x14ac:dyDescent="0.3">
      <c r="A54" s="82" t="s">
        <v>366</v>
      </c>
      <c r="B54" s="80"/>
      <c r="C54" s="81">
        <f>C36+C40+C53</f>
        <v>76351819</v>
      </c>
      <c r="E54" s="163">
        <f>E36+E40+E53</f>
        <v>18198632</v>
      </c>
      <c r="F54" s="163">
        <f>F36+F40+F53</f>
        <v>11026025</v>
      </c>
    </row>
    <row r="55" spans="1:6" x14ac:dyDescent="0.25">
      <c r="C55" s="3"/>
    </row>
    <row r="56" spans="1:6" x14ac:dyDescent="0.25">
      <c r="A56" s="54" t="s">
        <v>367</v>
      </c>
      <c r="B56" s="69">
        <v>1.2500000000000001E-2</v>
      </c>
      <c r="C56" s="3">
        <f>ROUND(C54*B56,0)</f>
        <v>954398</v>
      </c>
      <c r="D56" s="55" t="s">
        <v>402</v>
      </c>
    </row>
    <row r="57" spans="1:6" x14ac:dyDescent="0.25">
      <c r="A57" s="54" t="s">
        <v>368</v>
      </c>
      <c r="B57" s="69">
        <v>6.4999999999999997E-3</v>
      </c>
      <c r="C57" s="3">
        <f>ROUND(C54*B57,0)</f>
        <v>496287</v>
      </c>
      <c r="D57" s="55" t="s">
        <v>402</v>
      </c>
      <c r="E57" s="163">
        <f>89187+29104</f>
        <v>118291</v>
      </c>
      <c r="F57" s="163">
        <v>118291</v>
      </c>
    </row>
    <row r="58" spans="1:6" x14ac:dyDescent="0.25">
      <c r="A58" s="54" t="s">
        <v>369</v>
      </c>
      <c r="C58" s="3">
        <v>0</v>
      </c>
    </row>
    <row r="59" spans="1:6" x14ac:dyDescent="0.25">
      <c r="A59" s="54" t="s">
        <v>370</v>
      </c>
      <c r="B59" s="69">
        <v>1.2500000000000001E-2</v>
      </c>
      <c r="C59" s="3">
        <f>ROUND(SUM(C54:C58)*B59,0)</f>
        <v>972531</v>
      </c>
      <c r="D59" s="55" t="s">
        <v>402</v>
      </c>
    </row>
    <row r="60" spans="1:6" x14ac:dyDescent="0.25">
      <c r="A60" s="83" t="s">
        <v>371</v>
      </c>
      <c r="B60" s="77"/>
      <c r="C60" s="78">
        <f>SUM(C54:C59)</f>
        <v>78775035</v>
      </c>
      <c r="E60" s="88">
        <f>E54+E57</f>
        <v>18316923</v>
      </c>
      <c r="F60" s="88">
        <f>F54+F57</f>
        <v>11144316</v>
      </c>
    </row>
    <row r="61" spans="1:6" x14ac:dyDescent="0.25">
      <c r="C61" s="5"/>
    </row>
    <row r="62" spans="1:6" x14ac:dyDescent="0.25">
      <c r="A62" s="54" t="s">
        <v>372</v>
      </c>
      <c r="B62" s="69">
        <v>0.05</v>
      </c>
      <c r="C62" s="3">
        <f>C60*B62</f>
        <v>3938751.75</v>
      </c>
      <c r="D62" s="55" t="s">
        <v>402</v>
      </c>
      <c r="E62" s="163">
        <f>824749+91098</f>
        <v>915847</v>
      </c>
      <c r="F62" s="163">
        <f>965147-205622</f>
        <v>759525</v>
      </c>
    </row>
    <row r="63" spans="1:6" ht="15.75" thickBot="1" x14ac:dyDescent="0.3">
      <c r="C63" s="3"/>
    </row>
    <row r="64" spans="1:6" ht="15.75" thickBot="1" x14ac:dyDescent="0.3">
      <c r="A64" s="82" t="s">
        <v>373</v>
      </c>
      <c r="B64" s="80"/>
      <c r="C64" s="81">
        <f>SUM(C60:C63)</f>
        <v>82713786.75</v>
      </c>
      <c r="E64" s="164">
        <f>E60+E62</f>
        <v>19232770</v>
      </c>
      <c r="F64" s="164">
        <f>F60+F62</f>
        <v>11903841</v>
      </c>
    </row>
    <row r="65" spans="3:6" x14ac:dyDescent="0.25">
      <c r="C65" s="3"/>
    </row>
    <row r="66" spans="3:6" x14ac:dyDescent="0.25">
      <c r="C66" s="3"/>
      <c r="F66" s="163">
        <v>11903841</v>
      </c>
    </row>
    <row r="67" spans="3:6" x14ac:dyDescent="0.25">
      <c r="C67" s="3"/>
      <c r="F67" s="163">
        <f>F64-F66</f>
        <v>0</v>
      </c>
    </row>
    <row r="68" spans="3:6" x14ac:dyDescent="0.25">
      <c r="C68" s="3"/>
    </row>
    <row r="69" spans="3:6" x14ac:dyDescent="0.25">
      <c r="C69" s="3"/>
    </row>
    <row r="70" spans="3:6" x14ac:dyDescent="0.25">
      <c r="C70" s="3"/>
    </row>
    <row r="71" spans="3:6" x14ac:dyDescent="0.25">
      <c r="C71" s="3"/>
    </row>
    <row r="72" spans="3:6" x14ac:dyDescent="0.25">
      <c r="C72" s="3"/>
    </row>
  </sheetData>
  <mergeCells count="1">
    <mergeCell ref="E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67BE-650F-4FCB-BF3B-20D26D186C56}">
  <sheetPr>
    <tabColor rgb="FF00B050"/>
  </sheetPr>
  <dimension ref="A1:Y77"/>
  <sheetViews>
    <sheetView zoomScaleNormal="100" workbookViewId="0">
      <pane xSplit="2" ySplit="6" topLeftCell="C34" activePane="bottomRight" state="frozen"/>
      <selection pane="topRight" activeCell="B1" sqref="B1"/>
      <selection pane="bottomLeft" activeCell="A7" sqref="A7"/>
      <selection pane="bottomRight" activeCell="C40" sqref="C40"/>
    </sheetView>
  </sheetViews>
  <sheetFormatPr defaultRowHeight="15" x14ac:dyDescent="0.25"/>
  <cols>
    <col min="1" max="1" width="2.42578125" customWidth="1"/>
    <col min="2" max="2" width="25.5703125" customWidth="1"/>
    <col min="3" max="3" width="5.140625" bestFit="1" customWidth="1"/>
    <col min="4" max="9" width="10.5703125" bestFit="1" customWidth="1"/>
    <col min="10" max="10" width="11.5703125" bestFit="1" customWidth="1"/>
    <col min="11" max="11" width="11.28515625" bestFit="1" customWidth="1"/>
    <col min="12" max="14" width="12.28515625" bestFit="1" customWidth="1"/>
    <col min="15" max="15" width="11.28515625" bestFit="1" customWidth="1"/>
    <col min="16" max="18" width="12.28515625" bestFit="1" customWidth="1"/>
    <col min="19" max="21" width="12.28515625" customWidth="1"/>
    <col min="22" max="22" width="3.140625" customWidth="1"/>
    <col min="23" max="23" width="12.28515625" bestFit="1" customWidth="1"/>
  </cols>
  <sheetData>
    <row r="1" spans="1:25" x14ac:dyDescent="0.25">
      <c r="A1" t="s">
        <v>1</v>
      </c>
    </row>
    <row r="2" spans="1:25" x14ac:dyDescent="0.25">
      <c r="A2" t="s">
        <v>514</v>
      </c>
    </row>
    <row r="3" spans="1:25" x14ac:dyDescent="0.25">
      <c r="A3" t="s">
        <v>513</v>
      </c>
    </row>
    <row r="5" spans="1:25" s="153" customFormat="1" ht="12.75" x14ac:dyDescent="0.2">
      <c r="D5" s="153">
        <v>1</v>
      </c>
      <c r="E5" s="153">
        <v>2</v>
      </c>
      <c r="F5" s="153">
        <v>3</v>
      </c>
      <c r="G5" s="153">
        <v>4</v>
      </c>
      <c r="H5" s="153">
        <v>5</v>
      </c>
      <c r="I5" s="153">
        <v>6</v>
      </c>
      <c r="J5" s="153">
        <v>7</v>
      </c>
      <c r="K5" s="153">
        <v>8</v>
      </c>
      <c r="L5" s="153">
        <v>9</v>
      </c>
      <c r="M5" s="153">
        <v>10</v>
      </c>
      <c r="N5" s="153">
        <v>11</v>
      </c>
      <c r="O5" s="153">
        <v>12</v>
      </c>
      <c r="P5" s="153">
        <v>13</v>
      </c>
      <c r="Q5" s="153">
        <v>14</v>
      </c>
      <c r="R5" s="153">
        <v>15</v>
      </c>
      <c r="S5" s="153">
        <v>16</v>
      </c>
      <c r="T5" s="153">
        <v>17</v>
      </c>
      <c r="U5" s="153">
        <v>18</v>
      </c>
    </row>
    <row r="6" spans="1:25" s="153" customFormat="1" ht="12.75" x14ac:dyDescent="0.2">
      <c r="C6" s="154"/>
      <c r="D6" s="154">
        <v>45474</v>
      </c>
      <c r="E6" s="154">
        <v>45505</v>
      </c>
      <c r="F6" s="154">
        <v>45536</v>
      </c>
      <c r="G6" s="154">
        <v>45566</v>
      </c>
      <c r="H6" s="154">
        <v>45597</v>
      </c>
      <c r="I6" s="154">
        <v>45627</v>
      </c>
      <c r="J6" s="154">
        <v>45658</v>
      </c>
      <c r="K6" s="154">
        <v>45689</v>
      </c>
      <c r="L6" s="154">
        <v>45717</v>
      </c>
      <c r="M6" s="154">
        <v>45748</v>
      </c>
      <c r="N6" s="154">
        <v>45778</v>
      </c>
      <c r="O6" s="154">
        <v>45809</v>
      </c>
      <c r="P6" s="154">
        <v>45839</v>
      </c>
      <c r="Q6" s="154">
        <v>45870</v>
      </c>
      <c r="R6" s="154">
        <v>45901</v>
      </c>
      <c r="S6" s="154">
        <v>45931</v>
      </c>
      <c r="T6" s="154">
        <v>45962</v>
      </c>
      <c r="U6" s="154">
        <v>45992</v>
      </c>
      <c r="W6" s="153" t="s">
        <v>0</v>
      </c>
    </row>
    <row r="7" spans="1:25" s="151" customFormat="1" x14ac:dyDescent="0.25"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</row>
    <row r="8" spans="1:25" x14ac:dyDescent="0.25">
      <c r="A8" t="s">
        <v>512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</row>
    <row r="9" spans="1:25" x14ac:dyDescent="0.25">
      <c r="B9" s="150" t="s">
        <v>511</v>
      </c>
      <c r="C9" s="150"/>
      <c r="D9" s="6"/>
      <c r="E9" s="6"/>
      <c r="F9" s="6"/>
      <c r="G9" s="6"/>
      <c r="H9" s="6"/>
      <c r="I9" s="6"/>
      <c r="J9" s="6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</row>
    <row r="10" spans="1:25" x14ac:dyDescent="0.25">
      <c r="B10" s="150" t="s">
        <v>485</v>
      </c>
      <c r="C10" s="150"/>
      <c r="D10" s="6">
        <f>-35000*1.15</f>
        <v>-40250</v>
      </c>
      <c r="E10" s="6">
        <f t="shared" ref="E10:F10" si="0">-35000*1.15</f>
        <v>-40250</v>
      </c>
      <c r="F10" s="6">
        <f t="shared" si="0"/>
        <v>-40250</v>
      </c>
      <c r="G10" s="6">
        <f>-40000*1.15</f>
        <v>-46000</v>
      </c>
      <c r="H10" s="6">
        <f t="shared" ref="H10:U10" si="1">-40000*1.15</f>
        <v>-46000</v>
      </c>
      <c r="I10" s="6">
        <f t="shared" si="1"/>
        <v>-46000</v>
      </c>
      <c r="J10" s="6">
        <f t="shared" si="1"/>
        <v>-46000</v>
      </c>
      <c r="K10" s="6">
        <f t="shared" si="1"/>
        <v>-46000</v>
      </c>
      <c r="L10" s="6">
        <f t="shared" si="1"/>
        <v>-46000</v>
      </c>
      <c r="M10" s="6">
        <f t="shared" si="1"/>
        <v>-46000</v>
      </c>
      <c r="N10" s="6">
        <f t="shared" si="1"/>
        <v>-46000</v>
      </c>
      <c r="O10" s="6">
        <f t="shared" si="1"/>
        <v>-46000</v>
      </c>
      <c r="P10" s="6">
        <f t="shared" si="1"/>
        <v>-46000</v>
      </c>
      <c r="Q10" s="6">
        <f t="shared" si="1"/>
        <v>-46000</v>
      </c>
      <c r="R10" s="6">
        <f t="shared" si="1"/>
        <v>-46000</v>
      </c>
      <c r="S10" s="6">
        <f t="shared" si="1"/>
        <v>-46000</v>
      </c>
      <c r="T10" s="6">
        <f t="shared" si="1"/>
        <v>-46000</v>
      </c>
      <c r="U10" s="6">
        <f t="shared" si="1"/>
        <v>-46000</v>
      </c>
      <c r="V10" s="148"/>
      <c r="W10" s="148">
        <f t="shared" ref="W10:W11" si="2">SUM(C10:V10)</f>
        <v>-810750</v>
      </c>
      <c r="X10" s="148"/>
      <c r="Y10" s="148"/>
    </row>
    <row r="11" spans="1:25" x14ac:dyDescent="0.25">
      <c r="B11" s="150" t="s">
        <v>484</v>
      </c>
      <c r="C11" s="15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48"/>
      <c r="W11" s="148">
        <f t="shared" si="2"/>
        <v>0</v>
      </c>
      <c r="X11" s="148"/>
      <c r="Y11" s="148"/>
    </row>
    <row r="12" spans="1:25" x14ac:dyDescent="0.25">
      <c r="B12" s="150" t="s">
        <v>494</v>
      </c>
      <c r="C12" s="150"/>
      <c r="D12" s="6"/>
      <c r="E12" s="6"/>
      <c r="F12" s="6"/>
      <c r="G12" s="6"/>
      <c r="H12" s="6"/>
      <c r="I12" s="6"/>
      <c r="J12" s="6"/>
      <c r="K12" s="148"/>
      <c r="L12" s="148"/>
      <c r="M12" s="148">
        <v>-30000</v>
      </c>
      <c r="N12" s="148"/>
      <c r="O12" s="148"/>
      <c r="P12" s="148"/>
      <c r="Q12" s="148"/>
      <c r="R12" s="148"/>
      <c r="S12" s="148"/>
      <c r="T12" s="148"/>
      <c r="U12" s="148"/>
      <c r="V12" s="148"/>
      <c r="W12" s="148">
        <f t="shared" ref="W12:W34" si="3">SUM(C12:V12)</f>
        <v>-30000</v>
      </c>
      <c r="X12" s="148"/>
      <c r="Y12" s="148"/>
    </row>
    <row r="13" spans="1:25" x14ac:dyDescent="0.25">
      <c r="B13" s="150" t="s">
        <v>478</v>
      </c>
      <c r="C13" s="150"/>
      <c r="D13" s="6">
        <v>-500</v>
      </c>
      <c r="E13" s="6"/>
      <c r="F13" s="6">
        <v>-500</v>
      </c>
      <c r="G13" s="6"/>
      <c r="H13" s="6">
        <v>-500</v>
      </c>
      <c r="I13" s="6"/>
      <c r="J13" s="6">
        <v>-500</v>
      </c>
      <c r="K13" s="6">
        <v>-500</v>
      </c>
      <c r="L13" s="6">
        <v>-500</v>
      </c>
      <c r="M13" s="6">
        <v>-500</v>
      </c>
      <c r="N13" s="6">
        <v>-500</v>
      </c>
      <c r="O13" s="6">
        <v>-500</v>
      </c>
      <c r="P13" s="6">
        <v>-500</v>
      </c>
      <c r="Q13" s="6">
        <v>-500</v>
      </c>
      <c r="R13" s="6">
        <v>-500</v>
      </c>
      <c r="S13" s="6">
        <v>-500</v>
      </c>
      <c r="T13" s="6">
        <v>-500</v>
      </c>
      <c r="U13" s="6">
        <v>-500</v>
      </c>
      <c r="V13" s="148"/>
      <c r="W13" s="148">
        <f t="shared" si="3"/>
        <v>-7500</v>
      </c>
      <c r="X13" s="148"/>
      <c r="Y13" s="148"/>
    </row>
    <row r="14" spans="1:25" x14ac:dyDescent="0.25">
      <c r="B14" s="150" t="s">
        <v>482</v>
      </c>
      <c r="C14" s="150"/>
      <c r="D14" s="6">
        <v>-28636</v>
      </c>
      <c r="E14" s="6">
        <v>-28636</v>
      </c>
      <c r="F14" s="6"/>
      <c r="G14" s="6">
        <v>-60000</v>
      </c>
      <c r="H14" s="6">
        <v>-30000</v>
      </c>
      <c r="I14" s="6">
        <v>-30000</v>
      </c>
      <c r="J14" s="6">
        <v>-30000</v>
      </c>
      <c r="K14" s="6">
        <v>-30000</v>
      </c>
      <c r="L14" s="6">
        <v>-30000</v>
      </c>
      <c r="M14" s="6">
        <v>-30000</v>
      </c>
      <c r="N14" s="6">
        <v>-30000</v>
      </c>
      <c r="O14" s="6">
        <v>-30000</v>
      </c>
      <c r="P14" s="6">
        <v>-30000</v>
      </c>
      <c r="Q14" s="6">
        <v>-30000</v>
      </c>
      <c r="R14" s="148">
        <v>-33000</v>
      </c>
      <c r="S14" s="148">
        <v>-33000</v>
      </c>
      <c r="T14" s="148">
        <v>-33000</v>
      </c>
      <c r="U14" s="148">
        <v>-33000</v>
      </c>
      <c r="V14" s="148"/>
      <c r="W14" s="148">
        <f t="shared" si="3"/>
        <v>-549272</v>
      </c>
      <c r="X14" s="148"/>
      <c r="Y14" s="148"/>
    </row>
    <row r="15" spans="1:25" x14ac:dyDescent="0.25">
      <c r="B15" s="150" t="s">
        <v>510</v>
      </c>
      <c r="C15" s="150"/>
      <c r="D15" s="6"/>
      <c r="E15" s="6"/>
      <c r="F15" s="6">
        <f>-11500-3000</f>
        <v>-14500</v>
      </c>
      <c r="G15" s="6">
        <f>-11500-3000</f>
        <v>-14500</v>
      </c>
      <c r="H15" s="6">
        <f>-11500-3000</f>
        <v>-14500</v>
      </c>
      <c r="I15" s="6">
        <f>-11500-3000</f>
        <v>-14500</v>
      </c>
      <c r="J15" s="6"/>
      <c r="K15" s="6"/>
      <c r="L15" s="6"/>
      <c r="M15" s="6"/>
      <c r="N15" s="6"/>
      <c r="O15" s="6"/>
      <c r="P15" s="6"/>
      <c r="Q15" s="6"/>
      <c r="R15" s="148">
        <v>-15000</v>
      </c>
      <c r="S15" s="148">
        <v>-15000</v>
      </c>
      <c r="T15" s="148">
        <v>-15000</v>
      </c>
      <c r="U15" s="148">
        <v>-15000</v>
      </c>
      <c r="V15" s="148"/>
      <c r="W15" s="148">
        <f t="shared" si="3"/>
        <v>-118000</v>
      </c>
      <c r="X15" s="148"/>
      <c r="Y15" s="148"/>
    </row>
    <row r="16" spans="1:25" x14ac:dyDescent="0.25">
      <c r="B16" s="150" t="s">
        <v>509</v>
      </c>
      <c r="C16" s="150"/>
      <c r="D16" s="6">
        <v>-650</v>
      </c>
      <c r="E16" s="6">
        <v>-650</v>
      </c>
      <c r="F16" s="6">
        <v>-650</v>
      </c>
      <c r="G16" s="6">
        <v>-650</v>
      </c>
      <c r="H16" s="6">
        <v>-650</v>
      </c>
      <c r="I16" s="6">
        <v>-650</v>
      </c>
      <c r="J16" s="6">
        <v>-650</v>
      </c>
      <c r="K16" s="6">
        <v>-650</v>
      </c>
      <c r="L16" s="6">
        <v>-650</v>
      </c>
      <c r="M16" s="6">
        <v>-650</v>
      </c>
      <c r="N16" s="6">
        <v>-650</v>
      </c>
      <c r="O16" s="6">
        <v>-650</v>
      </c>
      <c r="P16" s="6">
        <v>-650</v>
      </c>
      <c r="Q16" s="6">
        <v>-650</v>
      </c>
      <c r="R16" s="6">
        <v>-650</v>
      </c>
      <c r="S16" s="6">
        <v>-650</v>
      </c>
      <c r="T16" s="6">
        <v>-650</v>
      </c>
      <c r="U16" s="6">
        <v>-650</v>
      </c>
      <c r="V16" s="148"/>
      <c r="W16" s="148">
        <f t="shared" si="3"/>
        <v>-11700</v>
      </c>
      <c r="X16" s="148"/>
      <c r="Y16" s="148"/>
    </row>
    <row r="17" spans="2:25" x14ac:dyDescent="0.25">
      <c r="B17" s="150" t="s">
        <v>508</v>
      </c>
      <c r="C17" s="150"/>
      <c r="D17" s="6">
        <v>-7250</v>
      </c>
      <c r="E17" s="6">
        <v>-7250</v>
      </c>
      <c r="F17" s="6">
        <v>-7250</v>
      </c>
      <c r="G17" s="6">
        <v>-7250</v>
      </c>
      <c r="H17" s="6">
        <v>-7250</v>
      </c>
      <c r="I17" s="6">
        <v>-7250</v>
      </c>
      <c r="J17" s="6">
        <v>-7250</v>
      </c>
      <c r="K17" s="6">
        <v>-7250</v>
      </c>
      <c r="L17" s="6">
        <v>-7250</v>
      </c>
      <c r="M17" s="6">
        <v>-7250</v>
      </c>
      <c r="N17" s="6">
        <v>-7250</v>
      </c>
      <c r="O17" s="6">
        <v>-7250</v>
      </c>
      <c r="P17" s="6">
        <v>-7250</v>
      </c>
      <c r="Q17" s="6">
        <v>-7250</v>
      </c>
      <c r="R17" s="6">
        <v>-7250</v>
      </c>
      <c r="S17" s="6">
        <v>-7250</v>
      </c>
      <c r="T17" s="6">
        <v>-7250</v>
      </c>
      <c r="U17" s="6">
        <v>-7250</v>
      </c>
      <c r="V17" s="148"/>
      <c r="W17" s="148">
        <f t="shared" si="3"/>
        <v>-130500</v>
      </c>
      <c r="X17" s="148"/>
      <c r="Y17" s="148"/>
    </row>
    <row r="18" spans="2:25" x14ac:dyDescent="0.25">
      <c r="B18" s="150" t="s">
        <v>507</v>
      </c>
      <c r="C18" s="150"/>
      <c r="D18" s="6">
        <v>-320</v>
      </c>
      <c r="E18" s="6">
        <v>-320</v>
      </c>
      <c r="F18" s="6">
        <v>-320</v>
      </c>
      <c r="G18" s="6">
        <v>-320</v>
      </c>
      <c r="H18" s="6">
        <v>-320</v>
      </c>
      <c r="I18" s="6">
        <v>-320</v>
      </c>
      <c r="J18" s="6">
        <v>-320</v>
      </c>
      <c r="K18" s="6">
        <v>-320</v>
      </c>
      <c r="L18" s="6">
        <v>-320</v>
      </c>
      <c r="M18" s="6">
        <v>-320</v>
      </c>
      <c r="N18" s="6">
        <v>-320</v>
      </c>
      <c r="O18" s="6">
        <v>-320</v>
      </c>
      <c r="P18" s="6">
        <v>-320</v>
      </c>
      <c r="Q18" s="6">
        <v>-320</v>
      </c>
      <c r="R18" s="6">
        <v>-320</v>
      </c>
      <c r="S18" s="6">
        <v>-320</v>
      </c>
      <c r="T18" s="6">
        <v>-320</v>
      </c>
      <c r="U18" s="6">
        <v>-320</v>
      </c>
      <c r="V18" s="148"/>
      <c r="W18" s="148">
        <f t="shared" si="3"/>
        <v>-5760</v>
      </c>
      <c r="X18" s="148"/>
      <c r="Y18" s="148"/>
    </row>
    <row r="19" spans="2:25" x14ac:dyDescent="0.25">
      <c r="B19" s="150" t="s">
        <v>506</v>
      </c>
      <c r="C19" s="150"/>
      <c r="D19" s="6">
        <v>-875</v>
      </c>
      <c r="E19" s="6">
        <v>-875</v>
      </c>
      <c r="F19" s="6">
        <v>-875</v>
      </c>
      <c r="G19" s="6">
        <v>-875</v>
      </c>
      <c r="H19" s="6">
        <v>-875</v>
      </c>
      <c r="I19" s="6">
        <v>-875</v>
      </c>
      <c r="J19" s="6">
        <v>-875</v>
      </c>
      <c r="K19" s="6">
        <v>-875</v>
      </c>
      <c r="L19" s="6">
        <v>-875</v>
      </c>
      <c r="M19" s="6">
        <v>-875</v>
      </c>
      <c r="N19" s="6">
        <v>-875</v>
      </c>
      <c r="O19" s="6">
        <v>-875</v>
      </c>
      <c r="P19" s="6">
        <v>-875</v>
      </c>
      <c r="Q19" s="6">
        <v>-875</v>
      </c>
      <c r="R19" s="6">
        <v>-875</v>
      </c>
      <c r="S19" s="6">
        <v>-875</v>
      </c>
      <c r="T19" s="6">
        <v>-875</v>
      </c>
      <c r="U19" s="6">
        <v>-875</v>
      </c>
      <c r="V19" s="148"/>
      <c r="W19" s="148">
        <f t="shared" si="3"/>
        <v>-15750</v>
      </c>
      <c r="X19" s="148"/>
      <c r="Y19" s="148"/>
    </row>
    <row r="20" spans="2:25" x14ac:dyDescent="0.25">
      <c r="B20" s="150" t="s">
        <v>505</v>
      </c>
      <c r="C20" s="150"/>
      <c r="D20" s="6">
        <v>-2000</v>
      </c>
      <c r="E20" s="6">
        <v>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v>-2000</v>
      </c>
      <c r="Q20" s="6"/>
      <c r="R20" s="6"/>
      <c r="S20" s="6"/>
      <c r="T20" s="6"/>
      <c r="U20" s="6"/>
      <c r="V20" s="148"/>
      <c r="W20" s="148">
        <f t="shared" si="3"/>
        <v>-4000</v>
      </c>
      <c r="X20" s="148"/>
      <c r="Y20" s="148"/>
    </row>
    <row r="21" spans="2:25" x14ac:dyDescent="0.25">
      <c r="B21" s="150" t="s">
        <v>164</v>
      </c>
      <c r="C21" s="150"/>
      <c r="D21" s="6"/>
      <c r="E21" s="6">
        <v>-1149</v>
      </c>
      <c r="F21" s="6"/>
      <c r="G21" s="6"/>
      <c r="H21" s="6">
        <v>-1149</v>
      </c>
      <c r="I21" s="6"/>
      <c r="J21" s="6"/>
      <c r="K21" s="6">
        <v>-1149</v>
      </c>
      <c r="L21" s="6"/>
      <c r="M21" s="6"/>
      <c r="N21" s="6">
        <v>-1149</v>
      </c>
      <c r="O21" s="6"/>
      <c r="P21" s="6"/>
      <c r="Q21" s="6">
        <v>-1149</v>
      </c>
      <c r="R21" s="6"/>
      <c r="S21" s="6"/>
      <c r="T21" s="6">
        <v>-1149</v>
      </c>
      <c r="U21" s="6"/>
      <c r="V21" s="148"/>
      <c r="W21" s="148">
        <f t="shared" si="3"/>
        <v>-6894</v>
      </c>
      <c r="X21" s="148"/>
      <c r="Y21" s="148"/>
    </row>
    <row r="22" spans="2:25" x14ac:dyDescent="0.25">
      <c r="B22" s="150" t="s">
        <v>504</v>
      </c>
      <c r="C22" s="150"/>
      <c r="D22" s="6">
        <v>-1000</v>
      </c>
      <c r="E22" s="6">
        <v>-1000</v>
      </c>
      <c r="F22" s="6">
        <v>-1000</v>
      </c>
      <c r="G22" s="6">
        <v>-1000</v>
      </c>
      <c r="H22" s="6">
        <v>-1000</v>
      </c>
      <c r="I22" s="6">
        <v>-1000</v>
      </c>
      <c r="J22" s="6">
        <v>-1000</v>
      </c>
      <c r="K22" s="6">
        <v>-1000</v>
      </c>
      <c r="L22" s="6">
        <v>-1000</v>
      </c>
      <c r="M22" s="6">
        <v>-1000</v>
      </c>
      <c r="N22" s="6">
        <v>-1000</v>
      </c>
      <c r="O22" s="6">
        <v>-1000</v>
      </c>
      <c r="P22" s="6">
        <v>-1000</v>
      </c>
      <c r="Q22" s="6">
        <v>-1000</v>
      </c>
      <c r="R22" s="6">
        <v>-1000</v>
      </c>
      <c r="S22" s="6">
        <v>-1000</v>
      </c>
      <c r="T22" s="6">
        <v>-1000</v>
      </c>
      <c r="U22" s="6">
        <v>-1000</v>
      </c>
      <c r="V22" s="148"/>
      <c r="W22" s="148">
        <f t="shared" si="3"/>
        <v>-18000</v>
      </c>
      <c r="X22" s="148"/>
      <c r="Y22" s="148"/>
    </row>
    <row r="23" spans="2:25" x14ac:dyDescent="0.25">
      <c r="B23" s="150" t="s">
        <v>503</v>
      </c>
      <c r="C23" s="150"/>
      <c r="D23" s="6">
        <v>-529</v>
      </c>
      <c r="E23" s="6">
        <v>-529</v>
      </c>
      <c r="F23" s="6">
        <v>-529</v>
      </c>
      <c r="G23" s="6">
        <v>-529</v>
      </c>
      <c r="H23" s="6">
        <v>-529</v>
      </c>
      <c r="I23" s="6">
        <v>-529</v>
      </c>
      <c r="J23" s="6">
        <v>-529</v>
      </c>
      <c r="K23" s="6">
        <v>-529</v>
      </c>
      <c r="L23" s="6">
        <v>-529</v>
      </c>
      <c r="M23" s="6">
        <v>-529</v>
      </c>
      <c r="N23" s="6">
        <v>-529</v>
      </c>
      <c r="O23" s="6">
        <v>-529</v>
      </c>
      <c r="P23" s="6">
        <v>-529</v>
      </c>
      <c r="Q23" s="6">
        <v>-529</v>
      </c>
      <c r="R23" s="6">
        <v>-529</v>
      </c>
      <c r="S23" s="6">
        <v>-529</v>
      </c>
      <c r="T23" s="6">
        <v>-529</v>
      </c>
      <c r="U23" s="6">
        <v>-529</v>
      </c>
      <c r="V23" s="148"/>
      <c r="W23" s="148">
        <f t="shared" si="3"/>
        <v>-9522</v>
      </c>
      <c r="X23" s="148"/>
      <c r="Y23" s="148"/>
    </row>
    <row r="24" spans="2:25" x14ac:dyDescent="0.25">
      <c r="B24" s="150" t="s">
        <v>502</v>
      </c>
      <c r="C24" s="150"/>
      <c r="D24" s="6">
        <v>-2000</v>
      </c>
      <c r="E24" s="6">
        <v>-2000</v>
      </c>
      <c r="F24" s="6">
        <v>-2000</v>
      </c>
      <c r="G24" s="6">
        <v>-2000</v>
      </c>
      <c r="H24" s="6">
        <v>-2000</v>
      </c>
      <c r="I24" s="6">
        <v>-2000</v>
      </c>
      <c r="J24" s="6">
        <v>-2000</v>
      </c>
      <c r="K24" s="6">
        <v>-2000</v>
      </c>
      <c r="L24" s="6">
        <v>-2000</v>
      </c>
      <c r="M24" s="6">
        <v>-2000</v>
      </c>
      <c r="N24" s="6">
        <v>-2000</v>
      </c>
      <c r="O24" s="6">
        <v>-2000</v>
      </c>
      <c r="P24" s="6">
        <v>-2000</v>
      </c>
      <c r="Q24" s="6">
        <v>-2000</v>
      </c>
      <c r="R24" s="6">
        <v>-2000</v>
      </c>
      <c r="S24" s="6">
        <v>-2000</v>
      </c>
      <c r="T24" s="6">
        <v>-2000</v>
      </c>
      <c r="U24" s="6">
        <v>-2000</v>
      </c>
      <c r="V24" s="148"/>
      <c r="W24" s="148">
        <f t="shared" si="3"/>
        <v>-36000</v>
      </c>
      <c r="X24" s="148"/>
      <c r="Y24" s="148"/>
    </row>
    <row r="25" spans="2:25" x14ac:dyDescent="0.25">
      <c r="B25" s="150" t="s">
        <v>501</v>
      </c>
      <c r="C25" s="150"/>
      <c r="D25" s="6">
        <v>-480</v>
      </c>
      <c r="E25" s="6">
        <v>-480</v>
      </c>
      <c r="F25" s="6">
        <v>-480</v>
      </c>
      <c r="G25" s="6">
        <v>-480</v>
      </c>
      <c r="H25" s="6">
        <v>-480</v>
      </c>
      <c r="I25" s="6">
        <v>-480</v>
      </c>
      <c r="J25" s="6">
        <v>-480</v>
      </c>
      <c r="K25" s="6">
        <v>-800</v>
      </c>
      <c r="L25" s="6">
        <v>-800</v>
      </c>
      <c r="M25" s="6">
        <v>-480</v>
      </c>
      <c r="N25" s="6">
        <v>-480</v>
      </c>
      <c r="O25" s="6">
        <v>-480</v>
      </c>
      <c r="P25" s="6">
        <v>-480</v>
      </c>
      <c r="Q25" s="6">
        <v>-480</v>
      </c>
      <c r="R25" s="6">
        <v>-480</v>
      </c>
      <c r="S25" s="6">
        <v>-480</v>
      </c>
      <c r="T25" s="6">
        <v>-480</v>
      </c>
      <c r="U25" s="6">
        <v>-480</v>
      </c>
      <c r="V25" s="148"/>
      <c r="W25" s="148">
        <f t="shared" si="3"/>
        <v>-9280</v>
      </c>
      <c r="X25" s="148"/>
      <c r="Y25" s="148"/>
    </row>
    <row r="26" spans="2:25" x14ac:dyDescent="0.25">
      <c r="B26" s="150" t="s">
        <v>500</v>
      </c>
      <c r="C26" s="150"/>
      <c r="D26" s="6">
        <v>-150</v>
      </c>
      <c r="E26" s="6">
        <v>-150</v>
      </c>
      <c r="F26" s="6">
        <v>-150</v>
      </c>
      <c r="G26" s="6">
        <v>-150</v>
      </c>
      <c r="H26" s="6">
        <v>-150</v>
      </c>
      <c r="I26" s="6">
        <v>-150</v>
      </c>
      <c r="J26" s="6">
        <v>-150</v>
      </c>
      <c r="K26" s="6">
        <v>-150</v>
      </c>
      <c r="L26" s="6">
        <v>-150</v>
      </c>
      <c r="M26" s="6">
        <v>-150</v>
      </c>
      <c r="N26" s="6">
        <v>-150</v>
      </c>
      <c r="O26" s="6">
        <v>-150</v>
      </c>
      <c r="P26" s="6">
        <v>-150</v>
      </c>
      <c r="Q26" s="6">
        <v>-150</v>
      </c>
      <c r="R26" s="6">
        <v>-150</v>
      </c>
      <c r="S26" s="6">
        <v>-150</v>
      </c>
      <c r="T26" s="6">
        <v>-150</v>
      </c>
      <c r="U26" s="6">
        <v>-150</v>
      </c>
      <c r="V26" s="148"/>
      <c r="W26" s="148">
        <f t="shared" si="3"/>
        <v>-2700</v>
      </c>
      <c r="X26" s="148"/>
      <c r="Y26" s="148"/>
    </row>
    <row r="27" spans="2:25" x14ac:dyDescent="0.25">
      <c r="B27" s="150" t="s">
        <v>499</v>
      </c>
      <c r="C27" s="150"/>
      <c r="D27" s="6">
        <v>-1500</v>
      </c>
      <c r="E27" s="6">
        <v>-1500</v>
      </c>
      <c r="F27" s="6">
        <v>-1500</v>
      </c>
      <c r="G27" s="6">
        <v>-1500</v>
      </c>
      <c r="H27" s="6">
        <v>-1500</v>
      </c>
      <c r="I27" s="6">
        <v>-1500</v>
      </c>
      <c r="J27" s="6">
        <v>-1500</v>
      </c>
      <c r="K27" s="6">
        <v>-1500</v>
      </c>
      <c r="L27" s="6">
        <v>-1500</v>
      </c>
      <c r="M27" s="6">
        <v>-1500</v>
      </c>
      <c r="N27" s="6">
        <v>-1500</v>
      </c>
      <c r="O27" s="6">
        <v>-1500</v>
      </c>
      <c r="P27" s="6">
        <v>-1500</v>
      </c>
      <c r="Q27" s="6">
        <v>-1500</v>
      </c>
      <c r="R27" s="6">
        <v>-1500</v>
      </c>
      <c r="S27" s="6">
        <v>-1500</v>
      </c>
      <c r="T27" s="6">
        <v>-1500</v>
      </c>
      <c r="U27" s="6">
        <v>-1500</v>
      </c>
      <c r="V27" s="148"/>
      <c r="W27" s="148">
        <f t="shared" si="3"/>
        <v>-27000</v>
      </c>
      <c r="X27" s="148"/>
      <c r="Y27" s="148"/>
    </row>
    <row r="28" spans="2:25" x14ac:dyDescent="0.25">
      <c r="B28" s="150" t="s">
        <v>563</v>
      </c>
      <c r="C28" s="150"/>
      <c r="D28" s="6"/>
      <c r="E28" s="6">
        <v>-50000</v>
      </c>
      <c r="F28" s="6"/>
      <c r="G28" s="6">
        <v>-50000</v>
      </c>
      <c r="H28" s="6"/>
      <c r="I28" s="6">
        <v>-50000</v>
      </c>
      <c r="J28" s="6"/>
      <c r="K28" s="6"/>
      <c r="L28" s="6"/>
      <c r="M28" s="6"/>
      <c r="N28" s="6">
        <v>-26840</v>
      </c>
      <c r="O28" s="6"/>
      <c r="P28" s="6"/>
      <c r="Q28" s="6"/>
      <c r="R28" s="6"/>
      <c r="S28" s="6"/>
      <c r="T28" s="6"/>
      <c r="U28" s="6"/>
      <c r="V28" s="148"/>
      <c r="W28" s="148">
        <f t="shared" si="3"/>
        <v>-176840</v>
      </c>
      <c r="X28" s="148"/>
      <c r="Y28" s="148"/>
    </row>
    <row r="29" spans="2:25" x14ac:dyDescent="0.25">
      <c r="B29" s="150" t="s">
        <v>544</v>
      </c>
      <c r="C29" s="150"/>
      <c r="D29" s="6">
        <v>-1275</v>
      </c>
      <c r="E29" s="6">
        <v>-36538</v>
      </c>
      <c r="F29" s="6">
        <v>-1275</v>
      </c>
      <c r="G29" s="6">
        <v>-1400</v>
      </c>
      <c r="H29" s="6">
        <v>-13663</v>
      </c>
      <c r="I29" s="6">
        <v>-1400</v>
      </c>
      <c r="J29" s="6">
        <v>-1400</v>
      </c>
      <c r="K29" s="6">
        <v>-13663</v>
      </c>
      <c r="L29" s="6">
        <v>-7000</v>
      </c>
      <c r="M29" s="6">
        <v>-1400</v>
      </c>
      <c r="N29" s="6">
        <v>-40000</v>
      </c>
      <c r="O29" s="6">
        <v>-1400</v>
      </c>
      <c r="P29" s="6">
        <v>-1400</v>
      </c>
      <c r="Q29" s="6">
        <v>-15000</v>
      </c>
      <c r="R29" s="6">
        <v>-1400</v>
      </c>
      <c r="S29" s="6">
        <v>-1400</v>
      </c>
      <c r="T29" s="6">
        <v>-15000</v>
      </c>
      <c r="U29" s="6">
        <v>-1400</v>
      </c>
      <c r="V29" s="148"/>
      <c r="W29" s="148">
        <f t="shared" si="3"/>
        <v>-156014</v>
      </c>
      <c r="X29" s="148"/>
      <c r="Y29" s="148"/>
    </row>
    <row r="30" spans="2:25" x14ac:dyDescent="0.25">
      <c r="B30" s="150" t="s">
        <v>545</v>
      </c>
      <c r="C30" s="150"/>
      <c r="D30" s="6">
        <v>-17832</v>
      </c>
      <c r="E30" s="6">
        <v>-17832</v>
      </c>
      <c r="F30" s="6">
        <v>-17832</v>
      </c>
      <c r="G30" s="6">
        <v>-17832</v>
      </c>
      <c r="H30" s="6">
        <v>-17855</v>
      </c>
      <c r="I30" s="6">
        <v>-17855</v>
      </c>
      <c r="J30" s="6">
        <v>-17855</v>
      </c>
      <c r="K30" s="6">
        <v>-17855</v>
      </c>
      <c r="L30" s="6">
        <v>-17855</v>
      </c>
      <c r="M30" s="6">
        <v>-17855</v>
      </c>
      <c r="N30" s="6">
        <v>-17855</v>
      </c>
      <c r="O30" s="6">
        <v>-17855</v>
      </c>
      <c r="P30" s="6">
        <v>-17855</v>
      </c>
      <c r="Q30" s="6">
        <v>-17855</v>
      </c>
      <c r="R30" s="6">
        <v>-17855</v>
      </c>
      <c r="S30" s="6">
        <v>-17855</v>
      </c>
      <c r="T30" s="6">
        <v>-18500</v>
      </c>
      <c r="U30" s="6">
        <v>-18500</v>
      </c>
      <c r="V30" s="148"/>
      <c r="W30" s="148">
        <f t="shared" si="3"/>
        <v>-322588</v>
      </c>
      <c r="X30" s="148"/>
      <c r="Y30" s="148"/>
    </row>
    <row r="31" spans="2:25" x14ac:dyDescent="0.25">
      <c r="B31" s="150" t="s">
        <v>498</v>
      </c>
      <c r="C31" s="150"/>
      <c r="D31" s="6">
        <v>-50</v>
      </c>
      <c r="E31" s="6">
        <v>-50</v>
      </c>
      <c r="F31" s="6">
        <v>-50</v>
      </c>
      <c r="G31" s="6">
        <v>-50</v>
      </c>
      <c r="H31" s="6">
        <v>-50</v>
      </c>
      <c r="I31" s="6">
        <v>-50</v>
      </c>
      <c r="J31" s="6">
        <v>-50</v>
      </c>
      <c r="K31" s="6">
        <v>-50</v>
      </c>
      <c r="L31" s="6">
        <v>-50</v>
      </c>
      <c r="M31" s="6">
        <v>-50</v>
      </c>
      <c r="N31" s="6">
        <v>-50</v>
      </c>
      <c r="O31" s="6">
        <v>-50</v>
      </c>
      <c r="P31" s="6">
        <v>-50</v>
      </c>
      <c r="Q31" s="6">
        <v>-50</v>
      </c>
      <c r="R31" s="6">
        <v>-50</v>
      </c>
      <c r="S31" s="6">
        <v>-50</v>
      </c>
      <c r="T31" s="6">
        <v>-50</v>
      </c>
      <c r="U31" s="6">
        <v>-50</v>
      </c>
      <c r="V31" s="148"/>
      <c r="W31" s="148">
        <f t="shared" si="3"/>
        <v>-900</v>
      </c>
      <c r="X31" s="148"/>
      <c r="Y31" s="148"/>
    </row>
    <row r="32" spans="2:25" x14ac:dyDescent="0.25">
      <c r="B32" s="150" t="s">
        <v>492</v>
      </c>
      <c r="C32" s="150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-600</v>
      </c>
      <c r="P32" s="6"/>
      <c r="Q32" s="6"/>
      <c r="R32" s="6"/>
      <c r="S32" s="6"/>
      <c r="T32" s="6"/>
      <c r="U32" s="6"/>
      <c r="V32" s="148"/>
      <c r="W32" s="148">
        <f t="shared" si="3"/>
        <v>-600</v>
      </c>
      <c r="X32" s="148"/>
      <c r="Y32" s="148"/>
    </row>
    <row r="33" spans="1:25" x14ac:dyDescent="0.25">
      <c r="B33" s="150" t="s">
        <v>477</v>
      </c>
      <c r="C33" s="150"/>
      <c r="D33" s="6"/>
      <c r="E33" s="6"/>
      <c r="F33" s="6">
        <v>-3500</v>
      </c>
      <c r="G33" s="6"/>
      <c r="H33" s="6"/>
      <c r="I33" s="6">
        <v>-3500</v>
      </c>
      <c r="J33" s="6"/>
      <c r="K33" s="6"/>
      <c r="L33" s="6">
        <v>-3500</v>
      </c>
      <c r="M33" s="6"/>
      <c r="N33" s="6"/>
      <c r="O33" s="6">
        <v>-3500</v>
      </c>
      <c r="P33" s="6"/>
      <c r="Q33" s="6"/>
      <c r="R33" s="6">
        <v>-3500</v>
      </c>
      <c r="S33" s="6">
        <v>-3500</v>
      </c>
      <c r="T33" s="6">
        <v>-3500</v>
      </c>
      <c r="U33" s="6">
        <v>-3500</v>
      </c>
      <c r="V33" s="148"/>
      <c r="W33" s="148">
        <f t="shared" si="3"/>
        <v>-28000</v>
      </c>
      <c r="X33" s="148"/>
      <c r="Y33" s="148"/>
    </row>
    <row r="34" spans="1:25" x14ac:dyDescent="0.25">
      <c r="B34" s="150" t="s">
        <v>487</v>
      </c>
      <c r="C34" s="150"/>
      <c r="D34" s="6">
        <v>-5</v>
      </c>
      <c r="E34" s="6">
        <v>-5</v>
      </c>
      <c r="F34" s="6">
        <v>-5</v>
      </c>
      <c r="G34" s="6">
        <v>-5</v>
      </c>
      <c r="H34" s="6">
        <v>-5</v>
      </c>
      <c r="I34" s="6">
        <v>-5</v>
      </c>
      <c r="J34" s="6">
        <v>-5</v>
      </c>
      <c r="K34" s="6">
        <v>-5</v>
      </c>
      <c r="L34" s="6">
        <v>-5</v>
      </c>
      <c r="M34" s="6">
        <v>-5</v>
      </c>
      <c r="N34" s="6">
        <v>-5</v>
      </c>
      <c r="O34" s="6">
        <v>-5</v>
      </c>
      <c r="P34" s="6">
        <v>-5</v>
      </c>
      <c r="Q34" s="6">
        <v>-5</v>
      </c>
      <c r="R34" s="6">
        <v>-5</v>
      </c>
      <c r="S34" s="6">
        <v>-5</v>
      </c>
      <c r="T34" s="6">
        <v>-5</v>
      </c>
      <c r="U34" s="6">
        <v>-5</v>
      </c>
      <c r="V34" s="148"/>
      <c r="W34" s="148">
        <f t="shared" si="3"/>
        <v>-90</v>
      </c>
      <c r="X34" s="148"/>
      <c r="Y34" s="148"/>
    </row>
    <row r="35" spans="1:25" x14ac:dyDescent="0.25"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</row>
    <row r="36" spans="1:25" x14ac:dyDescent="0.25">
      <c r="A36" s="150" t="s">
        <v>497</v>
      </c>
      <c r="C36" s="175"/>
      <c r="D36" s="149">
        <f t="shared" ref="D36:U36" si="4">SUM(D8:D35)</f>
        <v>-105302</v>
      </c>
      <c r="E36" s="149">
        <f t="shared" si="4"/>
        <v>-189214</v>
      </c>
      <c r="F36" s="149">
        <f t="shared" si="4"/>
        <v>-92666</v>
      </c>
      <c r="G36" s="149">
        <f t="shared" si="4"/>
        <v>-204541</v>
      </c>
      <c r="H36" s="149">
        <f t="shared" si="4"/>
        <v>-138476</v>
      </c>
      <c r="I36" s="149">
        <f t="shared" si="4"/>
        <v>-178064</v>
      </c>
      <c r="J36" s="149">
        <f t="shared" si="4"/>
        <v>-110564</v>
      </c>
      <c r="K36" s="149">
        <f t="shared" si="4"/>
        <v>-124296</v>
      </c>
      <c r="L36" s="149">
        <f t="shared" si="4"/>
        <v>-119984</v>
      </c>
      <c r="M36" s="149">
        <f t="shared" si="4"/>
        <v>-140564</v>
      </c>
      <c r="N36" s="149">
        <f t="shared" si="4"/>
        <v>-177153</v>
      </c>
      <c r="O36" s="149">
        <f t="shared" si="4"/>
        <v>-114664</v>
      </c>
      <c r="P36" s="149">
        <f t="shared" si="4"/>
        <v>-112564</v>
      </c>
      <c r="Q36" s="149">
        <f t="shared" si="4"/>
        <v>-125313</v>
      </c>
      <c r="R36" s="149">
        <f t="shared" si="4"/>
        <v>-132064</v>
      </c>
      <c r="S36" s="149">
        <f t="shared" si="4"/>
        <v>-132064</v>
      </c>
      <c r="T36" s="149">
        <f t="shared" si="4"/>
        <v>-147458</v>
      </c>
      <c r="U36" s="149">
        <f t="shared" si="4"/>
        <v>-132709</v>
      </c>
      <c r="V36" s="148"/>
      <c r="W36" s="149">
        <f>SUM(W8:W35)</f>
        <v>-2477660</v>
      </c>
      <c r="X36" s="148"/>
      <c r="Y36" s="148"/>
    </row>
    <row r="37" spans="1:25" x14ac:dyDescent="0.25"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</row>
    <row r="38" spans="1:25" x14ac:dyDescent="0.25">
      <c r="A38" t="s">
        <v>32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</row>
    <row r="39" spans="1:25" x14ac:dyDescent="0.25">
      <c r="B39" s="145" t="s">
        <v>485</v>
      </c>
      <c r="C39" s="145"/>
      <c r="D39" s="147"/>
      <c r="E39" s="147"/>
      <c r="F39" s="147"/>
      <c r="G39" s="147"/>
      <c r="H39" s="147"/>
      <c r="I39" s="147"/>
      <c r="J39" s="147"/>
      <c r="K39" s="147"/>
      <c r="L39" s="147"/>
      <c r="M39" s="147">
        <v>-167340</v>
      </c>
      <c r="N39" s="147">
        <v>-223120</v>
      </c>
      <c r="O39" s="147">
        <v>-334681</v>
      </c>
      <c r="P39" s="147">
        <v>-341037</v>
      </c>
      <c r="Q39" s="147">
        <v>-390399</v>
      </c>
      <c r="R39" s="147">
        <v>-439761</v>
      </c>
      <c r="S39" s="147">
        <v>-488506</v>
      </c>
      <c r="T39" s="147">
        <v>-655551</v>
      </c>
      <c r="U39" s="147">
        <v>-691220</v>
      </c>
      <c r="V39" s="3"/>
      <c r="W39" s="3">
        <f t="shared" ref="W39:W61" si="5">SUM(C39:V39)</f>
        <v>-3731615</v>
      </c>
      <c r="X39" s="3"/>
      <c r="Y39" s="3"/>
    </row>
    <row r="40" spans="1:25" x14ac:dyDescent="0.25">
      <c r="B40" s="145" t="s">
        <v>484</v>
      </c>
      <c r="C40" s="145"/>
      <c r="D40" s="147">
        <f>-31250*1.08</f>
        <v>-33750</v>
      </c>
      <c r="E40" s="147">
        <f>-(31250+16000)*1.15</f>
        <v>-54337.499999999993</v>
      </c>
      <c r="F40" s="147">
        <f>-30000*1.15</f>
        <v>-34500</v>
      </c>
      <c r="G40" s="147">
        <f t="shared" ref="G40:K40" si="6">-30000*1.15</f>
        <v>-34500</v>
      </c>
      <c r="H40" s="147">
        <f t="shared" si="6"/>
        <v>-34500</v>
      </c>
      <c r="I40" s="147">
        <f t="shared" si="6"/>
        <v>-34500</v>
      </c>
      <c r="J40" s="147">
        <f t="shared" si="6"/>
        <v>-34500</v>
      </c>
      <c r="K40" s="147">
        <f t="shared" si="6"/>
        <v>-34500</v>
      </c>
      <c r="L40" s="147">
        <v>-187331</v>
      </c>
      <c r="M40" s="147">
        <v>-280997</v>
      </c>
      <c r="N40" s="147">
        <v>-374662</v>
      </c>
      <c r="O40" s="147">
        <v>-418244</v>
      </c>
      <c r="P40" s="147">
        <v>-418244</v>
      </c>
      <c r="Q40" s="147">
        <v>-418244</v>
      </c>
      <c r="R40" s="147">
        <v>-418244</v>
      </c>
      <c r="S40" s="147">
        <v>-418244</v>
      </c>
      <c r="T40" s="147">
        <v>-506297</v>
      </c>
      <c r="U40" s="147">
        <v>-506297</v>
      </c>
      <c r="V40" s="3"/>
      <c r="W40" s="3">
        <f t="shared" si="5"/>
        <v>-4241891.5</v>
      </c>
      <c r="X40" s="3"/>
      <c r="Y40" s="3"/>
    </row>
    <row r="41" spans="1:25" x14ac:dyDescent="0.25">
      <c r="B41" s="145" t="s">
        <v>546</v>
      </c>
      <c r="C41" s="145"/>
      <c r="D41" s="147">
        <f t="shared" ref="D41:S41" si="7">(-25000*5)*1.15</f>
        <v>-143750</v>
      </c>
      <c r="E41" s="147">
        <f t="shared" si="7"/>
        <v>-143750</v>
      </c>
      <c r="F41" s="147">
        <f t="shared" si="7"/>
        <v>-143750</v>
      </c>
      <c r="G41" s="147">
        <f t="shared" si="7"/>
        <v>-143750</v>
      </c>
      <c r="H41" s="147">
        <f t="shared" si="7"/>
        <v>-143750</v>
      </c>
      <c r="I41" s="147">
        <f t="shared" si="7"/>
        <v>-143750</v>
      </c>
      <c r="J41" s="147">
        <f t="shared" si="7"/>
        <v>-143750</v>
      </c>
      <c r="K41" s="147">
        <f t="shared" si="7"/>
        <v>-143750</v>
      </c>
      <c r="L41" s="147">
        <f t="shared" si="7"/>
        <v>-143750</v>
      </c>
      <c r="M41" s="147">
        <f t="shared" si="7"/>
        <v>-143750</v>
      </c>
      <c r="N41" s="147">
        <f t="shared" si="7"/>
        <v>-143750</v>
      </c>
      <c r="O41" s="147">
        <f t="shared" si="7"/>
        <v>-143750</v>
      </c>
      <c r="P41" s="147">
        <f t="shared" si="7"/>
        <v>-143750</v>
      </c>
      <c r="Q41" s="147">
        <f t="shared" si="7"/>
        <v>-143750</v>
      </c>
      <c r="R41" s="147">
        <f t="shared" si="7"/>
        <v>-143750</v>
      </c>
      <c r="S41" s="147">
        <f t="shared" si="7"/>
        <v>-143750</v>
      </c>
      <c r="T41" s="147">
        <f t="shared" ref="T41:U41" si="8">(-25000*5)*1.15</f>
        <v>-143750</v>
      </c>
      <c r="U41" s="147">
        <f t="shared" si="8"/>
        <v>-143750</v>
      </c>
      <c r="V41" s="3"/>
      <c r="W41" s="3">
        <f t="shared" si="5"/>
        <v>-2587500</v>
      </c>
      <c r="X41" s="3"/>
      <c r="Y41" s="3"/>
    </row>
    <row r="42" spans="1:25" x14ac:dyDescent="0.25">
      <c r="B42" s="145" t="s">
        <v>496</v>
      </c>
      <c r="C42" s="145"/>
      <c r="D42" s="147">
        <v>-2000</v>
      </c>
      <c r="E42" s="147">
        <v>-2000</v>
      </c>
      <c r="F42" s="147">
        <v>-2000</v>
      </c>
      <c r="G42" s="147">
        <v>-2000</v>
      </c>
      <c r="H42" s="147">
        <v>-2000</v>
      </c>
      <c r="I42" s="147">
        <v>-2000</v>
      </c>
      <c r="J42" s="147">
        <v>-2000</v>
      </c>
      <c r="K42" s="147">
        <v>-2000</v>
      </c>
      <c r="L42" s="147">
        <v>-2000</v>
      </c>
      <c r="M42" s="147">
        <v>-2000</v>
      </c>
      <c r="N42" s="147">
        <v>-2000</v>
      </c>
      <c r="O42" s="147">
        <v>-2000</v>
      </c>
      <c r="P42" s="147">
        <v>-2000</v>
      </c>
      <c r="Q42" s="147">
        <v>-2000</v>
      </c>
      <c r="R42" s="147">
        <v>-2000</v>
      </c>
      <c r="S42" s="147">
        <v>-2000</v>
      </c>
      <c r="T42" s="147">
        <v>-2000</v>
      </c>
      <c r="U42" s="147">
        <v>-2000</v>
      </c>
      <c r="V42" s="3"/>
      <c r="W42" s="3">
        <f t="shared" si="5"/>
        <v>-36000</v>
      </c>
      <c r="X42" s="3"/>
      <c r="Y42" s="3"/>
    </row>
    <row r="43" spans="1:25" x14ac:dyDescent="0.25">
      <c r="B43" s="145" t="s">
        <v>495</v>
      </c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3"/>
      <c r="W43" s="3">
        <f t="shared" si="5"/>
        <v>0</v>
      </c>
      <c r="X43" s="3"/>
      <c r="Y43" s="3"/>
    </row>
    <row r="44" spans="1:25" x14ac:dyDescent="0.25">
      <c r="B44" s="145" t="s">
        <v>494</v>
      </c>
      <c r="C44" s="145"/>
      <c r="D44" s="146">
        <v>-1500</v>
      </c>
      <c r="E44" s="146"/>
      <c r="F44" s="146"/>
      <c r="G44" s="146"/>
      <c r="H44" s="146"/>
      <c r="I44" s="146"/>
      <c r="J44" s="146"/>
      <c r="K44" s="146"/>
      <c r="L44" s="146"/>
      <c r="M44" s="146">
        <v>-30000</v>
      </c>
      <c r="N44" s="146"/>
      <c r="O44" s="146"/>
      <c r="P44" s="146"/>
      <c r="Q44" s="146"/>
      <c r="R44" s="146"/>
      <c r="S44" s="146"/>
      <c r="T44" s="146"/>
      <c r="U44" s="146"/>
      <c r="V44" s="3"/>
      <c r="W44" s="3">
        <f t="shared" si="5"/>
        <v>-31500</v>
      </c>
      <c r="X44" s="3"/>
      <c r="Y44" s="3"/>
    </row>
    <row r="45" spans="1:25" x14ac:dyDescent="0.25">
      <c r="B45" s="145" t="s">
        <v>478</v>
      </c>
      <c r="C45" s="145"/>
      <c r="D45" s="147">
        <f>-6000-18000</f>
        <v>-24000</v>
      </c>
      <c r="E45" s="147">
        <f>-6000-18000</f>
        <v>-24000</v>
      </c>
      <c r="F45" s="147">
        <v>-6000</v>
      </c>
      <c r="G45" s="147">
        <v>-6000</v>
      </c>
      <c r="H45" s="147">
        <v>-6000</v>
      </c>
      <c r="I45" s="147">
        <v>-6000</v>
      </c>
      <c r="J45" s="147">
        <v>-6000</v>
      </c>
      <c r="K45" s="147">
        <v>-6000</v>
      </c>
      <c r="L45" s="147">
        <v>-6000</v>
      </c>
      <c r="M45" s="147">
        <v>-6000</v>
      </c>
      <c r="N45" s="147">
        <v>-6000</v>
      </c>
      <c r="O45" s="147">
        <v>-6000</v>
      </c>
      <c r="P45" s="147">
        <v>-6000</v>
      </c>
      <c r="Q45" s="147">
        <v>-6000</v>
      </c>
      <c r="R45" s="147">
        <v>-6000</v>
      </c>
      <c r="S45" s="147">
        <v>-6000</v>
      </c>
      <c r="T45" s="147">
        <v>-6000</v>
      </c>
      <c r="U45" s="147">
        <v>-6000</v>
      </c>
      <c r="V45" s="3"/>
      <c r="W45" s="3">
        <f t="shared" si="5"/>
        <v>-144000</v>
      </c>
      <c r="X45" s="3"/>
      <c r="Y45" s="3"/>
    </row>
    <row r="46" spans="1:25" x14ac:dyDescent="0.25">
      <c r="B46" s="145" t="s">
        <v>493</v>
      </c>
      <c r="C46" s="145"/>
      <c r="D46" s="147">
        <v>0</v>
      </c>
      <c r="E46" s="147">
        <v>0</v>
      </c>
      <c r="F46" s="147">
        <v>0</v>
      </c>
      <c r="G46" s="147">
        <v>0</v>
      </c>
      <c r="H46" s="147">
        <v>0</v>
      </c>
      <c r="I46" s="147">
        <v>0</v>
      </c>
      <c r="J46" s="147">
        <v>0</v>
      </c>
      <c r="K46" s="147">
        <v>0</v>
      </c>
      <c r="L46" s="147">
        <v>-31940</v>
      </c>
      <c r="M46" s="147">
        <v>-31940</v>
      </c>
      <c r="N46" s="147">
        <v>-31940</v>
      </c>
      <c r="O46" s="147">
        <v>-31940</v>
      </c>
      <c r="P46" s="147">
        <v>-31940</v>
      </c>
      <c r="Q46" s="147">
        <v>-31940</v>
      </c>
      <c r="R46" s="147">
        <v>-31940</v>
      </c>
      <c r="S46" s="147">
        <v>-31940</v>
      </c>
      <c r="T46" s="147">
        <v>-31940</v>
      </c>
      <c r="U46" s="147">
        <v>-31940</v>
      </c>
      <c r="V46" s="3"/>
      <c r="W46" s="3">
        <f t="shared" si="5"/>
        <v>-319400</v>
      </c>
      <c r="X46" s="3"/>
      <c r="Y46" s="3"/>
    </row>
    <row r="47" spans="1:25" x14ac:dyDescent="0.25">
      <c r="B47" s="145" t="s">
        <v>492</v>
      </c>
      <c r="C47" s="145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3"/>
      <c r="W47" s="3">
        <f t="shared" si="5"/>
        <v>0</v>
      </c>
      <c r="X47" s="3"/>
      <c r="Y47" s="3"/>
    </row>
    <row r="48" spans="1:25" x14ac:dyDescent="0.25">
      <c r="B48" s="145" t="s">
        <v>491</v>
      </c>
      <c r="C48" s="145"/>
      <c r="D48" s="147">
        <v>-4000</v>
      </c>
      <c r="E48" s="147">
        <v>-4000</v>
      </c>
      <c r="F48" s="147">
        <v>-4000</v>
      </c>
      <c r="G48" s="147">
        <v>-4000</v>
      </c>
      <c r="H48" s="147">
        <v>-4000</v>
      </c>
      <c r="I48" s="147">
        <v>-4000</v>
      </c>
      <c r="J48" s="147">
        <v>-4000</v>
      </c>
      <c r="K48" s="147">
        <v>-4000</v>
      </c>
      <c r="L48" s="147">
        <v>-4000</v>
      </c>
      <c r="M48" s="147">
        <v>-4000</v>
      </c>
      <c r="N48" s="147">
        <v>-4000</v>
      </c>
      <c r="O48" s="147">
        <v>-4000</v>
      </c>
      <c r="P48" s="147">
        <v>-4000</v>
      </c>
      <c r="Q48" s="147">
        <v>-4000</v>
      </c>
      <c r="R48" s="147">
        <v>-4000</v>
      </c>
      <c r="S48" s="147">
        <v>-4000</v>
      </c>
      <c r="T48" s="147">
        <v>-4000</v>
      </c>
      <c r="U48" s="147">
        <v>-4000</v>
      </c>
      <c r="V48" s="3"/>
      <c r="W48" s="3">
        <f t="shared" si="5"/>
        <v>-72000</v>
      </c>
      <c r="X48" s="3"/>
      <c r="Y48" s="3"/>
    </row>
    <row r="49" spans="1:25" x14ac:dyDescent="0.25">
      <c r="B49" s="145" t="s">
        <v>490</v>
      </c>
      <c r="C49" s="145"/>
      <c r="D49" s="147">
        <v>-4000</v>
      </c>
      <c r="E49" s="147">
        <v>-4000</v>
      </c>
      <c r="F49" s="147">
        <v>-4000</v>
      </c>
      <c r="G49" s="147">
        <v>-4000</v>
      </c>
      <c r="H49" s="147">
        <v>-4000</v>
      </c>
      <c r="I49" s="147">
        <v>-4000</v>
      </c>
      <c r="J49" s="147">
        <v>-4000</v>
      </c>
      <c r="K49" s="147">
        <v>-4000</v>
      </c>
      <c r="L49" s="147">
        <v>-4000</v>
      </c>
      <c r="M49" s="147">
        <v>-4000</v>
      </c>
      <c r="N49" s="147">
        <v>-4000</v>
      </c>
      <c r="O49" s="147">
        <v>-4000</v>
      </c>
      <c r="P49" s="147">
        <v>-4000</v>
      </c>
      <c r="Q49" s="147">
        <v>-4000</v>
      </c>
      <c r="R49" s="147">
        <v>-4000</v>
      </c>
      <c r="S49" s="147">
        <v>-4000</v>
      </c>
      <c r="T49" s="147">
        <v>-4000</v>
      </c>
      <c r="U49" s="147">
        <v>-4000</v>
      </c>
      <c r="V49" s="3"/>
      <c r="W49" s="3">
        <f t="shared" si="5"/>
        <v>-72000</v>
      </c>
      <c r="X49" s="3"/>
      <c r="Y49" s="3"/>
    </row>
    <row r="50" spans="1:25" x14ac:dyDescent="0.25">
      <c r="B50" s="145" t="s">
        <v>489</v>
      </c>
      <c r="C50" s="145"/>
      <c r="D50" s="147">
        <v>-750</v>
      </c>
      <c r="E50" s="147">
        <v>-750</v>
      </c>
      <c r="F50" s="147">
        <v>-750</v>
      </c>
      <c r="G50" s="147">
        <v>-750</v>
      </c>
      <c r="H50" s="147">
        <v>-750</v>
      </c>
      <c r="I50" s="147">
        <v>-750</v>
      </c>
      <c r="J50" s="147">
        <v>-750</v>
      </c>
      <c r="K50" s="147">
        <v>-750</v>
      </c>
      <c r="L50" s="147">
        <v>-750</v>
      </c>
      <c r="M50" s="147">
        <v>-750</v>
      </c>
      <c r="N50" s="147">
        <v>-750</v>
      </c>
      <c r="O50" s="147">
        <v>-750</v>
      </c>
      <c r="P50" s="147">
        <v>-750</v>
      </c>
      <c r="Q50" s="147">
        <v>-750</v>
      </c>
      <c r="R50" s="147">
        <v>-750</v>
      </c>
      <c r="S50" s="147">
        <v>-750</v>
      </c>
      <c r="T50" s="147">
        <v>-750</v>
      </c>
      <c r="U50" s="147">
        <v>-750</v>
      </c>
      <c r="V50" s="3"/>
      <c r="W50" s="3">
        <f t="shared" si="5"/>
        <v>-13500</v>
      </c>
      <c r="X50" s="3"/>
      <c r="Y50" s="3"/>
    </row>
    <row r="51" spans="1:25" x14ac:dyDescent="0.25">
      <c r="B51" s="145" t="s">
        <v>488</v>
      </c>
      <c r="C51" s="145"/>
      <c r="D51" s="147">
        <v>-3000</v>
      </c>
      <c r="E51" s="147">
        <v>-3000</v>
      </c>
      <c r="F51" s="147">
        <v>-3000</v>
      </c>
      <c r="G51" s="147">
        <v>-3000</v>
      </c>
      <c r="H51" s="147">
        <v>-3000</v>
      </c>
      <c r="I51" s="147">
        <v>-3000</v>
      </c>
      <c r="J51" s="147">
        <v>-3000</v>
      </c>
      <c r="K51" s="147">
        <v>-3000</v>
      </c>
      <c r="L51" s="147">
        <v>-3000</v>
      </c>
      <c r="M51" s="147">
        <v>-3000</v>
      </c>
      <c r="N51" s="147">
        <v>-3000</v>
      </c>
      <c r="O51" s="147">
        <v>-3000</v>
      </c>
      <c r="P51" s="147">
        <v>-3000</v>
      </c>
      <c r="Q51" s="147">
        <v>-3000</v>
      </c>
      <c r="R51" s="147">
        <v>-3000</v>
      </c>
      <c r="S51" s="147">
        <v>-3000</v>
      </c>
      <c r="T51" s="147">
        <v>-3000</v>
      </c>
      <c r="U51" s="147">
        <v>-3000</v>
      </c>
      <c r="V51" s="3"/>
      <c r="W51" s="3">
        <f t="shared" si="5"/>
        <v>-54000</v>
      </c>
      <c r="X51" s="3"/>
      <c r="Y51" s="3"/>
    </row>
    <row r="52" spans="1:25" x14ac:dyDescent="0.25">
      <c r="B52" s="145" t="s">
        <v>487</v>
      </c>
      <c r="C52" s="145"/>
      <c r="D52" s="147">
        <v>-5</v>
      </c>
      <c r="E52" s="147">
        <v>-5</v>
      </c>
      <c r="F52" s="147">
        <v>-5</v>
      </c>
      <c r="G52" s="147">
        <v>-5</v>
      </c>
      <c r="H52" s="147">
        <v>-5</v>
      </c>
      <c r="I52" s="147">
        <v>-5</v>
      </c>
      <c r="J52" s="147">
        <v>-5</v>
      </c>
      <c r="K52" s="147">
        <v>-5</v>
      </c>
      <c r="L52" s="147">
        <v>-5</v>
      </c>
      <c r="M52" s="147">
        <v>-5</v>
      </c>
      <c r="N52" s="147">
        <v>-5</v>
      </c>
      <c r="O52" s="147">
        <v>-5</v>
      </c>
      <c r="P52" s="147">
        <v>-5</v>
      </c>
      <c r="Q52" s="147">
        <v>-5</v>
      </c>
      <c r="R52" s="147">
        <v>-5</v>
      </c>
      <c r="S52" s="147">
        <v>-5</v>
      </c>
      <c r="T52" s="147">
        <v>-5</v>
      </c>
      <c r="U52" s="147">
        <v>-5</v>
      </c>
      <c r="V52" s="3"/>
      <c r="W52" s="3">
        <f t="shared" si="5"/>
        <v>-90</v>
      </c>
      <c r="X52" s="3"/>
      <c r="Y52" s="3"/>
    </row>
    <row r="53" spans="1:25" x14ac:dyDescent="0.25">
      <c r="B53" s="145" t="s">
        <v>486</v>
      </c>
      <c r="C53" s="145"/>
      <c r="D53" s="147">
        <v>-1000</v>
      </c>
      <c r="E53" s="147">
        <v>-1000</v>
      </c>
      <c r="F53" s="147">
        <v>-1000</v>
      </c>
      <c r="G53" s="147">
        <v>-1000</v>
      </c>
      <c r="H53" s="147">
        <v>-1000</v>
      </c>
      <c r="I53" s="147">
        <v>-1000</v>
      </c>
      <c r="J53" s="147">
        <v>-1000</v>
      </c>
      <c r="K53" s="147">
        <v>-1000</v>
      </c>
      <c r="L53" s="147">
        <v>-1000</v>
      </c>
      <c r="M53" s="147">
        <v>-1000</v>
      </c>
      <c r="N53" s="147">
        <v>-1000</v>
      </c>
      <c r="O53" s="147">
        <v>-1000</v>
      </c>
      <c r="P53" s="147">
        <v>-1000</v>
      </c>
      <c r="Q53" s="147">
        <v>-1000</v>
      </c>
      <c r="R53" s="147">
        <v>-1000</v>
      </c>
      <c r="S53" s="147">
        <v>-1000</v>
      </c>
      <c r="T53" s="147">
        <v>-1000</v>
      </c>
      <c r="U53" s="147">
        <v>-1000</v>
      </c>
      <c r="V53" s="3"/>
      <c r="W53" s="3">
        <f t="shared" si="5"/>
        <v>-18000</v>
      </c>
      <c r="X53" s="3"/>
      <c r="Y53" s="3"/>
    </row>
    <row r="54" spans="1:25" x14ac:dyDescent="0.25">
      <c r="B54" s="145" t="s">
        <v>483</v>
      </c>
      <c r="C54" s="145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>
        <v>-81500</v>
      </c>
      <c r="Q54" s="147">
        <v>-81500</v>
      </c>
      <c r="R54" s="147">
        <v>-81500</v>
      </c>
      <c r="S54" s="147">
        <v>-81500</v>
      </c>
      <c r="T54" s="147">
        <v>-81500</v>
      </c>
      <c r="U54" s="147">
        <v>-81500</v>
      </c>
      <c r="V54" s="3"/>
      <c r="W54" s="3">
        <f t="shared" si="5"/>
        <v>-489000</v>
      </c>
      <c r="X54" s="3"/>
      <c r="Y54" s="3"/>
    </row>
    <row r="55" spans="1:25" x14ac:dyDescent="0.25">
      <c r="B55" s="145" t="s">
        <v>482</v>
      </c>
      <c r="C55" s="145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>
        <v>-843332</v>
      </c>
      <c r="Q55" s="147">
        <v>-843332</v>
      </c>
      <c r="R55" s="147">
        <v>-843332</v>
      </c>
      <c r="S55" s="147">
        <v>-843332</v>
      </c>
      <c r="T55" s="147">
        <v>-843332</v>
      </c>
      <c r="U55" s="147">
        <v>-843332</v>
      </c>
      <c r="V55" s="3"/>
      <c r="W55" s="3">
        <f t="shared" si="5"/>
        <v>-5059992</v>
      </c>
      <c r="X55" s="3"/>
      <c r="Y55" s="3"/>
    </row>
    <row r="56" spans="1:25" x14ac:dyDescent="0.25">
      <c r="B56" s="145" t="s">
        <v>481</v>
      </c>
      <c r="C56" s="145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3"/>
      <c r="W56" s="3">
        <f t="shared" si="5"/>
        <v>0</v>
      </c>
      <c r="X56" s="3"/>
      <c r="Y56" s="3"/>
    </row>
    <row r="57" spans="1:25" x14ac:dyDescent="0.25">
      <c r="B57" s="145" t="s">
        <v>480</v>
      </c>
      <c r="C57" s="145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>
        <v>-118000</v>
      </c>
      <c r="Q57" s="147">
        <v>-118000</v>
      </c>
      <c r="R57" s="147">
        <v>-118000</v>
      </c>
      <c r="S57" s="147">
        <v>-118000</v>
      </c>
      <c r="T57" s="147">
        <v>-118000</v>
      </c>
      <c r="U57" s="147">
        <v>-118000</v>
      </c>
      <c r="V57" s="3"/>
      <c r="W57" s="3">
        <f t="shared" si="5"/>
        <v>-708000</v>
      </c>
      <c r="X57" s="3"/>
      <c r="Y57" s="3"/>
    </row>
    <row r="58" spans="1:25" x14ac:dyDescent="0.25">
      <c r="B58" s="145" t="s">
        <v>479</v>
      </c>
      <c r="C58" s="145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>
        <v>-13500</v>
      </c>
      <c r="Q58" s="147">
        <v>-13500</v>
      </c>
      <c r="R58" s="147">
        <v>-13500</v>
      </c>
      <c r="S58" s="147">
        <v>-13500</v>
      </c>
      <c r="T58" s="147">
        <v>-13500</v>
      </c>
      <c r="U58" s="147">
        <v>-13500</v>
      </c>
      <c r="V58" s="3"/>
      <c r="W58" s="3">
        <f t="shared" si="5"/>
        <v>-81000</v>
      </c>
      <c r="X58" s="3"/>
      <c r="Y58" s="3"/>
    </row>
    <row r="59" spans="1:25" x14ac:dyDescent="0.25">
      <c r="B59" s="145" t="s">
        <v>477</v>
      </c>
      <c r="C59" s="145"/>
      <c r="D59" s="146"/>
      <c r="E59" s="146"/>
      <c r="F59" s="146"/>
      <c r="G59" s="146"/>
      <c r="H59" s="146"/>
      <c r="I59" s="146"/>
      <c r="J59" s="146"/>
      <c r="K59" s="146"/>
      <c r="L59" s="146">
        <v>-40000</v>
      </c>
      <c r="M59" s="146">
        <v>-40000</v>
      </c>
      <c r="N59" s="146">
        <v>-40000</v>
      </c>
      <c r="O59" s="146">
        <v>-40000</v>
      </c>
      <c r="P59" s="146">
        <v>-40000</v>
      </c>
      <c r="Q59" s="146">
        <v>-40000</v>
      </c>
      <c r="R59" s="146">
        <v>-40000</v>
      </c>
      <c r="S59" s="146">
        <v>-40000</v>
      </c>
      <c r="T59" s="146">
        <v>-40000</v>
      </c>
      <c r="U59" s="146">
        <v>-40000</v>
      </c>
      <c r="V59" s="3"/>
      <c r="W59" s="3">
        <f t="shared" si="5"/>
        <v>-400000</v>
      </c>
      <c r="X59" s="3"/>
      <c r="Y59" s="3"/>
    </row>
    <row r="60" spans="1:25" x14ac:dyDescent="0.25">
      <c r="B60" s="145" t="s">
        <v>476</v>
      </c>
      <c r="C60" s="145"/>
      <c r="D60" s="146">
        <v>-5000</v>
      </c>
      <c r="E60" s="146">
        <v>-5000</v>
      </c>
      <c r="F60" s="146">
        <v>-5000</v>
      </c>
      <c r="G60" s="146">
        <v>-5000</v>
      </c>
      <c r="H60" s="146">
        <v>-5000</v>
      </c>
      <c r="I60" s="146">
        <v>-5000</v>
      </c>
      <c r="J60" s="146">
        <v>-5000</v>
      </c>
      <c r="K60" s="146">
        <v>-5000</v>
      </c>
      <c r="L60" s="146">
        <v>-22339</v>
      </c>
      <c r="M60" s="146">
        <v>-22339</v>
      </c>
      <c r="N60" s="146">
        <v>-22339</v>
      </c>
      <c r="O60" s="146">
        <v>-22339</v>
      </c>
      <c r="P60" s="146">
        <v>-22339</v>
      </c>
      <c r="Q60" s="146">
        <v>-22339</v>
      </c>
      <c r="R60" s="146">
        <v>-22339</v>
      </c>
      <c r="S60" s="146">
        <v>-22339</v>
      </c>
      <c r="T60" s="146">
        <v>-22339</v>
      </c>
      <c r="U60" s="146">
        <v>-22339</v>
      </c>
      <c r="V60" s="3"/>
      <c r="W60" s="3">
        <f t="shared" si="5"/>
        <v>-263390</v>
      </c>
      <c r="X60" s="3"/>
      <c r="Y60" s="3"/>
    </row>
    <row r="61" spans="1:25" x14ac:dyDescent="0.25">
      <c r="B61" s="145" t="s">
        <v>475</v>
      </c>
      <c r="C61" s="145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>
        <f t="shared" si="5"/>
        <v>0</v>
      </c>
      <c r="X61" s="3"/>
      <c r="Y61" s="3"/>
    </row>
    <row r="62" spans="1:2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s="39" customFormat="1" x14ac:dyDescent="0.25">
      <c r="A63" s="39" t="s">
        <v>474</v>
      </c>
      <c r="C63" s="143"/>
      <c r="D63" s="144">
        <f t="shared" ref="D63:U63" si="9">SUM(D38:D62)</f>
        <v>-222755</v>
      </c>
      <c r="E63" s="144">
        <f t="shared" si="9"/>
        <v>-241842.5</v>
      </c>
      <c r="F63" s="144">
        <f t="shared" si="9"/>
        <v>-204005</v>
      </c>
      <c r="G63" s="144">
        <f t="shared" si="9"/>
        <v>-204005</v>
      </c>
      <c r="H63" s="144">
        <f t="shared" si="9"/>
        <v>-204005</v>
      </c>
      <c r="I63" s="144">
        <f t="shared" si="9"/>
        <v>-204005</v>
      </c>
      <c r="J63" s="144">
        <f t="shared" si="9"/>
        <v>-204005</v>
      </c>
      <c r="K63" s="144">
        <f t="shared" si="9"/>
        <v>-204005</v>
      </c>
      <c r="L63" s="144">
        <f t="shared" si="9"/>
        <v>-446115</v>
      </c>
      <c r="M63" s="144">
        <f t="shared" si="9"/>
        <v>-737121</v>
      </c>
      <c r="N63" s="144">
        <f t="shared" si="9"/>
        <v>-856566</v>
      </c>
      <c r="O63" s="144">
        <f t="shared" si="9"/>
        <v>-1011709</v>
      </c>
      <c r="P63" s="144">
        <f t="shared" si="9"/>
        <v>-2074397</v>
      </c>
      <c r="Q63" s="144">
        <f t="shared" si="9"/>
        <v>-2123759</v>
      </c>
      <c r="R63" s="144">
        <f t="shared" si="9"/>
        <v>-2173121</v>
      </c>
      <c r="S63" s="144">
        <f t="shared" si="9"/>
        <v>-2221866</v>
      </c>
      <c r="T63" s="144">
        <f t="shared" si="9"/>
        <v>-2476964</v>
      </c>
      <c r="U63" s="144">
        <f t="shared" si="9"/>
        <v>-2512633</v>
      </c>
      <c r="V63" s="40"/>
      <c r="W63" s="144">
        <f>SUM(W38:W62)</f>
        <v>-18322878.5</v>
      </c>
      <c r="X63" s="40"/>
      <c r="Y63" s="40"/>
    </row>
    <row r="64" spans="1:25" s="39" customFormat="1" x14ac:dyDescent="0.25"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40"/>
      <c r="W64" s="143"/>
      <c r="X64" s="40"/>
      <c r="Y64" s="40"/>
    </row>
    <row r="65" spans="1:25" s="39" customFormat="1" x14ac:dyDescent="0.25">
      <c r="A65" s="39" t="s">
        <v>473</v>
      </c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40"/>
      <c r="W65" s="3">
        <f>SUM(C65:V65)</f>
        <v>0</v>
      </c>
      <c r="X65" s="40"/>
      <c r="Y65" s="40"/>
    </row>
    <row r="66" spans="1:2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x14ac:dyDescent="0.25">
      <c r="A67" t="s">
        <v>472</v>
      </c>
      <c r="C67" s="52"/>
      <c r="D67" s="142">
        <f t="shared" ref="D67:U67" si="10">D36+D63+D65</f>
        <v>-328057</v>
      </c>
      <c r="E67" s="142">
        <f t="shared" si="10"/>
        <v>-431056.5</v>
      </c>
      <c r="F67" s="142">
        <f t="shared" si="10"/>
        <v>-296671</v>
      </c>
      <c r="G67" s="142">
        <f t="shared" si="10"/>
        <v>-408546</v>
      </c>
      <c r="H67" s="142">
        <f t="shared" si="10"/>
        <v>-342481</v>
      </c>
      <c r="I67" s="142">
        <f t="shared" si="10"/>
        <v>-382069</v>
      </c>
      <c r="J67" s="142">
        <f t="shared" si="10"/>
        <v>-314569</v>
      </c>
      <c r="K67" s="142">
        <f t="shared" si="10"/>
        <v>-328301</v>
      </c>
      <c r="L67" s="142">
        <f t="shared" si="10"/>
        <v>-566099</v>
      </c>
      <c r="M67" s="142">
        <f t="shared" si="10"/>
        <v>-877685</v>
      </c>
      <c r="N67" s="142">
        <f t="shared" si="10"/>
        <v>-1033719</v>
      </c>
      <c r="O67" s="142">
        <f t="shared" si="10"/>
        <v>-1126373</v>
      </c>
      <c r="P67" s="142">
        <f t="shared" si="10"/>
        <v>-2186961</v>
      </c>
      <c r="Q67" s="142">
        <f t="shared" si="10"/>
        <v>-2249072</v>
      </c>
      <c r="R67" s="142">
        <f t="shared" si="10"/>
        <v>-2305185</v>
      </c>
      <c r="S67" s="142">
        <f t="shared" si="10"/>
        <v>-2353930</v>
      </c>
      <c r="T67" s="142">
        <f t="shared" si="10"/>
        <v>-2624422</v>
      </c>
      <c r="U67" s="142">
        <f t="shared" si="10"/>
        <v>-2645342</v>
      </c>
      <c r="V67" s="3"/>
      <c r="W67" s="142">
        <f>W36+W63+W65</f>
        <v>-20800538.5</v>
      </c>
      <c r="X67" s="3"/>
      <c r="Y67" s="3"/>
    </row>
    <row r="68" spans="1:25" x14ac:dyDescent="0.2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x14ac:dyDescent="0.25">
      <c r="A69" t="s">
        <v>471</v>
      </c>
      <c r="D69" s="3">
        <v>0</v>
      </c>
      <c r="E69" s="3">
        <f t="shared" ref="E69:R69" si="11">D74</f>
        <v>1243714</v>
      </c>
      <c r="F69" s="3">
        <f t="shared" si="11"/>
        <v>833157.5</v>
      </c>
      <c r="G69" s="3">
        <f t="shared" si="11"/>
        <v>538986.5</v>
      </c>
      <c r="H69" s="3">
        <f t="shared" si="11"/>
        <v>486599.5</v>
      </c>
      <c r="I69" s="3">
        <f t="shared" si="11"/>
        <v>412839.5</v>
      </c>
      <c r="J69" s="3">
        <f t="shared" si="11"/>
        <v>262372.5</v>
      </c>
      <c r="K69" s="3">
        <f t="shared" si="11"/>
        <v>288466.5</v>
      </c>
      <c r="L69" s="3">
        <f t="shared" si="11"/>
        <v>265743.5</v>
      </c>
      <c r="M69" s="3">
        <f t="shared" si="11"/>
        <v>173422.5</v>
      </c>
      <c r="N69" s="3">
        <f t="shared" si="11"/>
        <v>0</v>
      </c>
      <c r="O69" s="3">
        <f t="shared" si="11"/>
        <v>0</v>
      </c>
      <c r="P69" s="3">
        <f t="shared" si="11"/>
        <v>0</v>
      </c>
      <c r="Q69" s="3">
        <f t="shared" si="11"/>
        <v>0</v>
      </c>
      <c r="R69" s="3">
        <f t="shared" si="11"/>
        <v>0</v>
      </c>
      <c r="S69" s="3">
        <f t="shared" ref="S69" si="12">R74</f>
        <v>0</v>
      </c>
      <c r="T69" s="3">
        <f t="shared" ref="T69" si="13">S74</f>
        <v>0</v>
      </c>
      <c r="U69" s="3">
        <f t="shared" ref="U69" si="14">T74</f>
        <v>0</v>
      </c>
      <c r="V69" s="3"/>
      <c r="W69" s="3">
        <f>C69</f>
        <v>0</v>
      </c>
      <c r="X69" s="3"/>
      <c r="Y69" s="3"/>
    </row>
    <row r="70" spans="1:25" x14ac:dyDescent="0.25">
      <c r="A70" t="s">
        <v>470</v>
      </c>
      <c r="C70" s="5"/>
      <c r="D70" s="3">
        <f>'Development Costs'!Q56</f>
        <v>1571771</v>
      </c>
      <c r="E70" s="3">
        <f>'Development Costs'!R56</f>
        <v>20500</v>
      </c>
      <c r="F70" s="3">
        <f>'Development Costs'!S56</f>
        <v>2500</v>
      </c>
      <c r="G70" s="3">
        <f>'Development Costs'!T56</f>
        <v>356159</v>
      </c>
      <c r="H70" s="3">
        <f>'Development Costs'!U56</f>
        <v>268721</v>
      </c>
      <c r="I70" s="3">
        <f>'Development Costs'!V56</f>
        <v>231602</v>
      </c>
      <c r="J70" s="3">
        <f>'Development Costs'!W56</f>
        <v>340663</v>
      </c>
      <c r="K70" s="3">
        <f>'Development Costs'!X56</f>
        <v>305578</v>
      </c>
      <c r="L70" s="3">
        <f>'Development Costs'!Y56</f>
        <v>473778</v>
      </c>
      <c r="M70" s="3">
        <f>'Development Costs'!Z56</f>
        <v>313367</v>
      </c>
      <c r="N70" s="3">
        <f>'Development Costs'!AA56</f>
        <v>266276</v>
      </c>
      <c r="O70" s="3">
        <f>'Development Costs'!AB56</f>
        <v>375617</v>
      </c>
      <c r="P70" s="3">
        <f>'Development Costs'!AC56</f>
        <v>269181</v>
      </c>
      <c r="Q70" s="3">
        <f>'Development Costs'!AD56</f>
        <v>249297</v>
      </c>
      <c r="R70" s="3">
        <f>'Development Costs'!AE56</f>
        <v>224093</v>
      </c>
      <c r="S70" s="3">
        <f>'Development Costs'!AF56</f>
        <v>34834</v>
      </c>
      <c r="T70" s="3">
        <f>'Development Costs'!AG56</f>
        <v>0</v>
      </c>
      <c r="U70" s="3">
        <f>'Development Costs'!AH56</f>
        <v>0</v>
      </c>
      <c r="V70" s="3"/>
      <c r="W70" s="3">
        <f>SUM(C70:V70)</f>
        <v>5303937</v>
      </c>
      <c r="X70" s="3"/>
      <c r="Y70" s="3"/>
    </row>
    <row r="71" spans="1:25" x14ac:dyDescent="0.25">
      <c r="A71" t="s">
        <v>555</v>
      </c>
      <c r="C71" s="5"/>
      <c r="D71" s="3">
        <f>SUM(D69:D70)</f>
        <v>1571771</v>
      </c>
      <c r="E71" s="3">
        <f t="shared" ref="E71:U71" si="15">SUM(E69:E70)</f>
        <v>1264214</v>
      </c>
      <c r="F71" s="3">
        <f t="shared" si="15"/>
        <v>835657.5</v>
      </c>
      <c r="G71" s="3">
        <f t="shared" si="15"/>
        <v>895145.5</v>
      </c>
      <c r="H71" s="3">
        <f t="shared" si="15"/>
        <v>755320.5</v>
      </c>
      <c r="I71" s="3">
        <f t="shared" si="15"/>
        <v>644441.5</v>
      </c>
      <c r="J71" s="3">
        <f t="shared" si="15"/>
        <v>603035.5</v>
      </c>
      <c r="K71" s="3">
        <f t="shared" si="15"/>
        <v>594044.5</v>
      </c>
      <c r="L71" s="3">
        <f t="shared" si="15"/>
        <v>739521.5</v>
      </c>
      <c r="M71" s="3">
        <f t="shared" si="15"/>
        <v>486789.5</v>
      </c>
      <c r="N71" s="3">
        <f t="shared" si="15"/>
        <v>266276</v>
      </c>
      <c r="O71" s="3">
        <f t="shared" si="15"/>
        <v>375617</v>
      </c>
      <c r="P71" s="3">
        <f t="shared" si="15"/>
        <v>269181</v>
      </c>
      <c r="Q71" s="3">
        <f t="shared" si="15"/>
        <v>249297</v>
      </c>
      <c r="R71" s="3">
        <f t="shared" si="15"/>
        <v>224093</v>
      </c>
      <c r="S71" s="3">
        <f t="shared" si="15"/>
        <v>34834</v>
      </c>
      <c r="T71" s="3">
        <f t="shared" si="15"/>
        <v>0</v>
      </c>
      <c r="U71" s="3">
        <f t="shared" si="15"/>
        <v>0</v>
      </c>
      <c r="V71" s="3"/>
      <c r="W71" s="3"/>
      <c r="X71" s="3"/>
      <c r="Y71" s="3"/>
    </row>
    <row r="72" spans="1:25" x14ac:dyDescent="0.25">
      <c r="A72" t="s">
        <v>469</v>
      </c>
      <c r="C72" s="5"/>
      <c r="D72" s="3">
        <f>IF(-D67&lt;D71,D67,-D71)</f>
        <v>-328057</v>
      </c>
      <c r="E72" s="3">
        <f t="shared" ref="E72:U72" si="16">IF(-E67&lt;E71,E67,-E71)</f>
        <v>-431056.5</v>
      </c>
      <c r="F72" s="3">
        <f t="shared" si="16"/>
        <v>-296671</v>
      </c>
      <c r="G72" s="3">
        <f t="shared" si="16"/>
        <v>-408546</v>
      </c>
      <c r="H72" s="3">
        <f t="shared" si="16"/>
        <v>-342481</v>
      </c>
      <c r="I72" s="3">
        <f t="shared" si="16"/>
        <v>-382069</v>
      </c>
      <c r="J72" s="3">
        <f t="shared" si="16"/>
        <v>-314569</v>
      </c>
      <c r="K72" s="3">
        <f t="shared" si="16"/>
        <v>-328301</v>
      </c>
      <c r="L72" s="3">
        <f t="shared" si="16"/>
        <v>-566099</v>
      </c>
      <c r="M72" s="3">
        <f t="shared" si="16"/>
        <v>-486789.5</v>
      </c>
      <c r="N72" s="3">
        <f t="shared" si="16"/>
        <v>-266276</v>
      </c>
      <c r="O72" s="3">
        <f t="shared" si="16"/>
        <v>-375617</v>
      </c>
      <c r="P72" s="3">
        <f t="shared" si="16"/>
        <v>-269181</v>
      </c>
      <c r="Q72" s="3">
        <f t="shared" si="16"/>
        <v>-249297</v>
      </c>
      <c r="R72" s="3">
        <f t="shared" si="16"/>
        <v>-224093</v>
      </c>
      <c r="S72" s="3">
        <f t="shared" si="16"/>
        <v>-34834</v>
      </c>
      <c r="T72" s="3">
        <f t="shared" si="16"/>
        <v>0</v>
      </c>
      <c r="U72" s="3">
        <f t="shared" si="16"/>
        <v>0</v>
      </c>
      <c r="V72" s="3"/>
      <c r="W72" s="3">
        <f>SUM(C72:V72)</f>
        <v>-5303937</v>
      </c>
      <c r="X72" s="3"/>
      <c r="Y72" s="3"/>
    </row>
    <row r="73" spans="1:25" x14ac:dyDescent="0.25"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x14ac:dyDescent="0.25">
      <c r="A74" t="s">
        <v>554</v>
      </c>
      <c r="C74" s="52"/>
      <c r="D74" s="142">
        <f>D69+D70+D72</f>
        <v>1243714</v>
      </c>
      <c r="E74" s="142">
        <f t="shared" ref="E74:U74" si="17">E69+E70+E72</f>
        <v>833157.5</v>
      </c>
      <c r="F74" s="142">
        <f t="shared" si="17"/>
        <v>538986.5</v>
      </c>
      <c r="G74" s="142">
        <f t="shared" si="17"/>
        <v>486599.5</v>
      </c>
      <c r="H74" s="142">
        <f t="shared" si="17"/>
        <v>412839.5</v>
      </c>
      <c r="I74" s="142">
        <f t="shared" si="17"/>
        <v>262372.5</v>
      </c>
      <c r="J74" s="142">
        <f t="shared" si="17"/>
        <v>288466.5</v>
      </c>
      <c r="K74" s="142">
        <f t="shared" si="17"/>
        <v>265743.5</v>
      </c>
      <c r="L74" s="142">
        <f t="shared" si="17"/>
        <v>173422.5</v>
      </c>
      <c r="M74" s="142">
        <f t="shared" si="17"/>
        <v>0</v>
      </c>
      <c r="N74" s="142">
        <f t="shared" si="17"/>
        <v>0</v>
      </c>
      <c r="O74" s="142">
        <f t="shared" si="17"/>
        <v>0</v>
      </c>
      <c r="P74" s="142">
        <f t="shared" si="17"/>
        <v>0</v>
      </c>
      <c r="Q74" s="142">
        <f t="shared" si="17"/>
        <v>0</v>
      </c>
      <c r="R74" s="142">
        <f t="shared" si="17"/>
        <v>0</v>
      </c>
      <c r="S74" s="142">
        <f t="shared" si="17"/>
        <v>0</v>
      </c>
      <c r="T74" s="142">
        <f t="shared" si="17"/>
        <v>0</v>
      </c>
      <c r="U74" s="142">
        <f t="shared" si="17"/>
        <v>0</v>
      </c>
      <c r="V74" s="3"/>
      <c r="W74" s="142">
        <f>SUM(W69:W72)</f>
        <v>0</v>
      </c>
      <c r="X74" s="3"/>
      <c r="Y74" s="3"/>
    </row>
    <row r="76" spans="1:25" x14ac:dyDescent="0.25">
      <c r="R76" s="141"/>
      <c r="S76" s="141"/>
      <c r="T76" s="141"/>
      <c r="U76" s="141">
        <v>805</v>
      </c>
      <c r="W76" s="52">
        <f>ROUND(W36/$W$67*$W$67,0)</f>
        <v>-2477660</v>
      </c>
    </row>
    <row r="77" spans="1:25" x14ac:dyDescent="0.25">
      <c r="R77" s="141"/>
      <c r="S77" s="141"/>
      <c r="T77" s="141"/>
      <c r="U77" s="141" t="s">
        <v>32</v>
      </c>
      <c r="W77" s="52">
        <f>ROUND((W63+W65)/$W$67*$W$67,0)</f>
        <v>-18322879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5947B-8620-4A69-A4A0-871AB283C3A4}">
  <sheetPr>
    <tabColor rgb="FF00B050"/>
    <pageSetUpPr fitToPage="1"/>
  </sheetPr>
  <dimension ref="A1:AF74"/>
  <sheetViews>
    <sheetView workbookViewId="0">
      <pane xSplit="3" ySplit="6" topLeftCell="D55" activePane="bottomRight" state="frozen"/>
      <selection pane="topRight" activeCell="D1" sqref="D1"/>
      <selection pane="bottomLeft" activeCell="A7" sqref="A7"/>
      <selection pane="bottomRight" activeCell="J68" sqref="J68"/>
    </sheetView>
  </sheetViews>
  <sheetFormatPr defaultColWidth="8.85546875" defaultRowHeight="15" x14ac:dyDescent="0.25"/>
  <cols>
    <col min="1" max="1" width="8.85546875" style="73"/>
    <col min="2" max="2" width="34.28515625" style="73" customWidth="1"/>
    <col min="3" max="3" width="13.5703125" style="73" customWidth="1"/>
    <col min="4" max="4" width="9.7109375" style="75" bestFit="1" customWidth="1"/>
    <col min="5" max="5" width="13.28515625" style="206" bestFit="1" customWidth="1"/>
    <col min="6" max="6" width="13.42578125" style="206" bestFit="1" customWidth="1"/>
    <col min="7" max="7" width="8.85546875" style="204"/>
    <col min="8" max="8" width="10.5703125" style="204" bestFit="1" customWidth="1"/>
    <col min="9" max="10" width="10" style="204" bestFit="1" customWidth="1"/>
    <col min="11" max="11" width="11.5703125" style="204" bestFit="1" customWidth="1"/>
    <col min="12" max="13" width="8.5703125" style="204" customWidth="1"/>
    <col min="14" max="14" width="13.28515625" style="204" bestFit="1" customWidth="1"/>
    <col min="15" max="15" width="8.5703125" style="204" customWidth="1"/>
    <col min="16" max="16" width="11.5703125" style="204" bestFit="1" customWidth="1"/>
    <col min="17" max="17" width="13.28515625" style="204" bestFit="1" customWidth="1"/>
    <col min="18" max="18" width="8.5703125" style="204" customWidth="1"/>
    <col min="19" max="20" width="11.5703125" style="204" bestFit="1" customWidth="1"/>
    <col min="21" max="21" width="13.28515625" style="204" bestFit="1" customWidth="1"/>
    <col min="22" max="22" width="10.5703125" style="204" bestFit="1" customWidth="1"/>
    <col min="23" max="25" width="11.5703125" style="204" bestFit="1" customWidth="1"/>
    <col min="26" max="27" width="8.5703125" style="73" customWidth="1"/>
    <col min="28" max="16384" width="8.85546875" style="73"/>
  </cols>
  <sheetData>
    <row r="1" spans="1:29" x14ac:dyDescent="0.25">
      <c r="A1" s="73" t="s">
        <v>289</v>
      </c>
    </row>
    <row r="2" spans="1:29" x14ac:dyDescent="0.25">
      <c r="A2" s="73" t="s">
        <v>32</v>
      </c>
    </row>
    <row r="3" spans="1:29" x14ac:dyDescent="0.25">
      <c r="A3" s="73" t="s">
        <v>333</v>
      </c>
    </row>
    <row r="6" spans="1:29" s="76" customFormat="1" x14ac:dyDescent="0.25">
      <c r="B6" s="74"/>
      <c r="C6" s="74"/>
      <c r="D6" s="210" t="s">
        <v>331</v>
      </c>
      <c r="E6" s="211" t="s">
        <v>330</v>
      </c>
      <c r="F6" s="211" t="s">
        <v>0</v>
      </c>
      <c r="G6" s="9"/>
      <c r="H6" s="9" t="s">
        <v>163</v>
      </c>
      <c r="I6" s="9">
        <v>45413</v>
      </c>
      <c r="J6" s="9">
        <v>45444</v>
      </c>
      <c r="K6" s="9">
        <v>45474</v>
      </c>
      <c r="L6" s="9">
        <v>45505</v>
      </c>
      <c r="M6" s="9">
        <v>45536</v>
      </c>
      <c r="N6" s="9">
        <v>45566</v>
      </c>
      <c r="O6" s="9">
        <v>45597</v>
      </c>
      <c r="P6" s="9">
        <v>45627</v>
      </c>
      <c r="Q6" s="9">
        <v>45658</v>
      </c>
      <c r="R6" s="9">
        <v>45689</v>
      </c>
      <c r="S6" s="9">
        <v>45717</v>
      </c>
      <c r="T6" s="9">
        <v>45748</v>
      </c>
      <c r="U6" s="9">
        <v>45778</v>
      </c>
      <c r="V6" s="9">
        <v>45809</v>
      </c>
      <c r="W6" s="9">
        <v>45839</v>
      </c>
      <c r="X6" s="9">
        <v>45870</v>
      </c>
      <c r="Y6" s="9">
        <v>45901</v>
      </c>
      <c r="Z6" s="170"/>
      <c r="AA6" s="170"/>
    </row>
    <row r="7" spans="1:29" customFormat="1" x14ac:dyDescent="0.25">
      <c r="A7" s="39"/>
      <c r="D7" s="212"/>
      <c r="E7" s="209"/>
      <c r="F7" s="206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9" customFormat="1" x14ac:dyDescent="0.25">
      <c r="A8" s="39"/>
      <c r="B8" s="74" t="s">
        <v>332</v>
      </c>
      <c r="D8" s="212"/>
      <c r="E8" s="209"/>
      <c r="F8" s="206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9" x14ac:dyDescent="0.25">
      <c r="B9" s="73" t="s">
        <v>329</v>
      </c>
      <c r="C9" s="73" t="s">
        <v>533</v>
      </c>
      <c r="D9" s="75">
        <v>9</v>
      </c>
      <c r="E9" s="206">
        <v>17000</v>
      </c>
      <c r="F9" s="206">
        <f t="shared" ref="F9:F26" si="0">D9*E9</f>
        <v>153000</v>
      </c>
      <c r="W9" s="204">
        <f>F9</f>
        <v>153000</v>
      </c>
    </row>
    <row r="10" spans="1:29" x14ac:dyDescent="0.25">
      <c r="B10" s="73" t="s">
        <v>328</v>
      </c>
      <c r="C10" s="73" t="s">
        <v>194</v>
      </c>
      <c r="D10" s="75">
        <v>1</v>
      </c>
      <c r="E10" s="206">
        <v>6000000</v>
      </c>
      <c r="F10" s="206">
        <f t="shared" si="0"/>
        <v>6000000</v>
      </c>
      <c r="N10" s="204">
        <f>F10*0.3</f>
        <v>1800000</v>
      </c>
      <c r="Q10" s="204">
        <f>F10*0.5</f>
        <v>3000000</v>
      </c>
      <c r="U10" s="204">
        <f>F10*0.2</f>
        <v>1200000</v>
      </c>
    </row>
    <row r="11" spans="1:29" x14ac:dyDescent="0.25">
      <c r="B11" s="73" t="s">
        <v>327</v>
      </c>
      <c r="D11" s="75">
        <v>5</v>
      </c>
      <c r="E11" s="206">
        <v>0</v>
      </c>
      <c r="F11" s="206">
        <f t="shared" si="0"/>
        <v>0</v>
      </c>
    </row>
    <row r="12" spans="1:29" x14ac:dyDescent="0.25">
      <c r="B12" s="54" t="s">
        <v>326</v>
      </c>
      <c r="C12" s="54" t="s">
        <v>207</v>
      </c>
      <c r="D12" s="54">
        <v>3</v>
      </c>
      <c r="E12" s="206">
        <v>71269</v>
      </c>
      <c r="F12" s="206">
        <f t="shared" si="0"/>
        <v>213807</v>
      </c>
      <c r="G12" s="205" t="s">
        <v>536</v>
      </c>
      <c r="H12" s="204">
        <f>H64+H65+H67</f>
        <v>67120</v>
      </c>
      <c r="I12" s="204">
        <v>8560</v>
      </c>
      <c r="J12" s="204">
        <v>8560</v>
      </c>
      <c r="K12" s="204">
        <f>F12-H12-I12-J12</f>
        <v>129567</v>
      </c>
      <c r="AC12" s="111"/>
    </row>
    <row r="13" spans="1:29" x14ac:dyDescent="0.25">
      <c r="B13" s="54" t="s">
        <v>325</v>
      </c>
      <c r="C13" s="54" t="s">
        <v>207</v>
      </c>
      <c r="D13" s="54">
        <v>3</v>
      </c>
      <c r="E13" s="206">
        <v>73948</v>
      </c>
      <c r="F13" s="206">
        <f t="shared" si="0"/>
        <v>221844</v>
      </c>
      <c r="G13" s="205"/>
      <c r="K13" s="204">
        <f>147895</f>
        <v>147895</v>
      </c>
      <c r="P13" s="204">
        <f>($F13-$K13)*0.5</f>
        <v>36974.5</v>
      </c>
      <c r="Y13" s="204">
        <f>($F13-$K13)*0.5</f>
        <v>36974.5</v>
      </c>
    </row>
    <row r="14" spans="1:29" x14ac:dyDescent="0.25">
      <c r="B14" s="54" t="s">
        <v>324</v>
      </c>
      <c r="C14" s="54" t="s">
        <v>207</v>
      </c>
      <c r="D14" s="54">
        <v>9</v>
      </c>
      <c r="E14" s="206">
        <v>71492</v>
      </c>
      <c r="F14" s="206">
        <f t="shared" si="0"/>
        <v>643428</v>
      </c>
      <c r="G14" s="205"/>
      <c r="K14" s="204">
        <v>142984</v>
      </c>
      <c r="P14" s="204">
        <f>($F14-$K14)*0.5</f>
        <v>250222</v>
      </c>
      <c r="Y14" s="204">
        <f>($F14-$K14)*0.5</f>
        <v>250222</v>
      </c>
    </row>
    <row r="15" spans="1:29" x14ac:dyDescent="0.25">
      <c r="B15" s="54" t="s">
        <v>323</v>
      </c>
      <c r="C15" s="54" t="s">
        <v>207</v>
      </c>
      <c r="D15" s="54">
        <v>2</v>
      </c>
      <c r="E15" s="206">
        <v>34678</v>
      </c>
      <c r="F15" s="206">
        <f t="shared" si="0"/>
        <v>69356</v>
      </c>
      <c r="G15" s="205" t="s">
        <v>537</v>
      </c>
      <c r="K15" s="204">
        <f>F15</f>
        <v>69356</v>
      </c>
      <c r="AC15" s="111"/>
    </row>
    <row r="16" spans="1:29" x14ac:dyDescent="0.25">
      <c r="B16" s="54" t="s">
        <v>322</v>
      </c>
      <c r="C16" s="54" t="s">
        <v>207</v>
      </c>
      <c r="D16" s="54">
        <v>2</v>
      </c>
      <c r="E16" s="206">
        <v>35860</v>
      </c>
      <c r="F16" s="206">
        <f t="shared" si="0"/>
        <v>71720</v>
      </c>
      <c r="G16" s="205"/>
      <c r="K16" s="204">
        <f>F16</f>
        <v>71720</v>
      </c>
    </row>
    <row r="17" spans="2:24" x14ac:dyDescent="0.25">
      <c r="B17" s="54" t="s">
        <v>542</v>
      </c>
      <c r="C17" s="54" t="s">
        <v>207</v>
      </c>
      <c r="D17" s="54">
        <v>1</v>
      </c>
      <c r="E17" s="206">
        <f>4307.12+4451.88</f>
        <v>8759</v>
      </c>
      <c r="F17" s="206">
        <f t="shared" si="0"/>
        <v>8759</v>
      </c>
      <c r="G17" s="205"/>
      <c r="H17" s="204">
        <v>4307</v>
      </c>
      <c r="K17" s="204">
        <v>4452</v>
      </c>
    </row>
    <row r="18" spans="2:24" x14ac:dyDescent="0.25">
      <c r="B18" s="54" t="s">
        <v>321</v>
      </c>
      <c r="C18" s="54"/>
      <c r="D18" s="54">
        <v>4</v>
      </c>
      <c r="E18" s="206">
        <v>11000</v>
      </c>
      <c r="F18" s="206">
        <f t="shared" si="0"/>
        <v>44000</v>
      </c>
      <c r="U18" s="204">
        <f>$F18*0.5</f>
        <v>22000</v>
      </c>
      <c r="W18" s="204">
        <f>$F18*0.5</f>
        <v>22000</v>
      </c>
    </row>
    <row r="19" spans="2:24" x14ac:dyDescent="0.25">
      <c r="B19" s="73" t="s">
        <v>109</v>
      </c>
      <c r="D19" s="75">
        <v>12</v>
      </c>
      <c r="E19" s="206">
        <v>4000</v>
      </c>
      <c r="F19" s="206">
        <f t="shared" si="0"/>
        <v>48000</v>
      </c>
      <c r="U19" s="204">
        <f>$F19*0.5</f>
        <v>24000</v>
      </c>
      <c r="W19" s="204">
        <f>$F19*0.5</f>
        <v>24000</v>
      </c>
    </row>
    <row r="20" spans="2:24" x14ac:dyDescent="0.25">
      <c r="B20" s="73" t="s">
        <v>320</v>
      </c>
      <c r="D20" s="75">
        <v>3</v>
      </c>
      <c r="E20" s="206">
        <v>10000</v>
      </c>
      <c r="F20" s="206">
        <f t="shared" si="0"/>
        <v>30000</v>
      </c>
      <c r="S20" s="204">
        <f>$F20*0.5</f>
        <v>15000</v>
      </c>
      <c r="W20" s="204">
        <f>$F20*0.5</f>
        <v>15000</v>
      </c>
    </row>
    <row r="21" spans="2:24" x14ac:dyDescent="0.25">
      <c r="B21" s="73" t="s">
        <v>319</v>
      </c>
      <c r="D21" s="75">
        <v>1</v>
      </c>
      <c r="E21" s="206">
        <v>20000</v>
      </c>
      <c r="F21" s="206">
        <f t="shared" si="0"/>
        <v>20000</v>
      </c>
      <c r="Q21" s="204">
        <f>$F21*0.5</f>
        <v>10000</v>
      </c>
      <c r="U21" s="204">
        <f>$F21*0.5</f>
        <v>10000</v>
      </c>
    </row>
    <row r="22" spans="2:24" x14ac:dyDescent="0.25">
      <c r="B22" s="73" t="s">
        <v>318</v>
      </c>
      <c r="D22" s="75">
        <v>100</v>
      </c>
      <c r="E22" s="206">
        <v>125</v>
      </c>
      <c r="F22" s="206">
        <f t="shared" si="0"/>
        <v>12500</v>
      </c>
      <c r="W22" s="204">
        <f>$F22</f>
        <v>12500</v>
      </c>
    </row>
    <row r="23" spans="2:24" x14ac:dyDescent="0.25">
      <c r="B23" s="73" t="s">
        <v>317</v>
      </c>
      <c r="D23" s="75">
        <v>5</v>
      </c>
      <c r="E23" s="206">
        <v>3000</v>
      </c>
      <c r="F23" s="206">
        <f t="shared" si="0"/>
        <v>15000</v>
      </c>
      <c r="S23" s="204">
        <f>$F23*0.5</f>
        <v>7500</v>
      </c>
      <c r="X23" s="204">
        <f>$F23*0.5</f>
        <v>7500</v>
      </c>
    </row>
    <row r="24" spans="2:24" x14ac:dyDescent="0.25">
      <c r="B24" s="73" t="s">
        <v>316</v>
      </c>
      <c r="D24" s="75">
        <v>25</v>
      </c>
      <c r="E24" s="206">
        <v>3500</v>
      </c>
      <c r="F24" s="206">
        <f t="shared" si="0"/>
        <v>87500</v>
      </c>
      <c r="U24" s="204">
        <f>$F24*0.25</f>
        <v>21875</v>
      </c>
      <c r="X24" s="204">
        <f>$F24*0.75</f>
        <v>65625</v>
      </c>
    </row>
    <row r="25" spans="2:24" x14ac:dyDescent="0.25">
      <c r="B25" s="73" t="s">
        <v>315</v>
      </c>
      <c r="D25" s="75">
        <v>1</v>
      </c>
      <c r="E25" s="206">
        <v>150000</v>
      </c>
      <c r="F25" s="206">
        <f t="shared" si="0"/>
        <v>150000</v>
      </c>
      <c r="T25" s="204">
        <f>$F25*0.25</f>
        <v>37500</v>
      </c>
      <c r="W25" s="204">
        <f>$F25*0.75</f>
        <v>112500</v>
      </c>
    </row>
    <row r="26" spans="2:24" x14ac:dyDescent="0.25">
      <c r="B26" s="73" t="s">
        <v>314</v>
      </c>
      <c r="D26" s="75">
        <v>1</v>
      </c>
      <c r="E26" s="206">
        <v>45000</v>
      </c>
      <c r="F26" s="206">
        <f t="shared" si="0"/>
        <v>45000</v>
      </c>
      <c r="V26" s="204">
        <f>$F26</f>
        <v>45000</v>
      </c>
    </row>
    <row r="28" spans="2:24" x14ac:dyDescent="0.25">
      <c r="B28" s="74" t="s">
        <v>313</v>
      </c>
      <c r="C28" s="74"/>
    </row>
    <row r="29" spans="2:24" x14ac:dyDescent="0.25">
      <c r="B29" s="73" t="s">
        <v>312</v>
      </c>
      <c r="D29" s="75">
        <v>5</v>
      </c>
      <c r="E29" s="206">
        <v>7000</v>
      </c>
      <c r="F29" s="206">
        <f t="shared" ref="F29:F39" si="1">D29*E29</f>
        <v>35000</v>
      </c>
      <c r="S29" s="204">
        <f t="shared" ref="S29:T38" si="2">$F29*0.5</f>
        <v>17500</v>
      </c>
      <c r="X29" s="204">
        <f t="shared" ref="X29:X36" si="3">$F29*0.5</f>
        <v>17500</v>
      </c>
    </row>
    <row r="30" spans="2:24" x14ac:dyDescent="0.25">
      <c r="B30" s="73" t="s">
        <v>311</v>
      </c>
      <c r="D30" s="75">
        <v>13</v>
      </c>
      <c r="E30" s="206">
        <v>5000</v>
      </c>
      <c r="F30" s="206">
        <f t="shared" si="1"/>
        <v>65000</v>
      </c>
      <c r="S30" s="204">
        <f t="shared" si="2"/>
        <v>32500</v>
      </c>
      <c r="X30" s="204">
        <f t="shared" si="3"/>
        <v>32500</v>
      </c>
    </row>
    <row r="31" spans="2:24" x14ac:dyDescent="0.25">
      <c r="B31" s="73" t="s">
        <v>310</v>
      </c>
      <c r="D31" s="75">
        <v>2</v>
      </c>
      <c r="E31" s="206">
        <v>5000</v>
      </c>
      <c r="F31" s="206">
        <f t="shared" si="1"/>
        <v>10000</v>
      </c>
      <c r="S31" s="204">
        <f t="shared" si="2"/>
        <v>5000</v>
      </c>
      <c r="X31" s="204">
        <f t="shared" si="3"/>
        <v>5000</v>
      </c>
    </row>
    <row r="32" spans="2:24" x14ac:dyDescent="0.25">
      <c r="B32" s="73" t="s">
        <v>309</v>
      </c>
      <c r="D32" s="75">
        <v>1</v>
      </c>
      <c r="E32" s="206">
        <v>50000</v>
      </c>
      <c r="F32" s="206">
        <f t="shared" si="1"/>
        <v>50000</v>
      </c>
      <c r="S32" s="204">
        <f t="shared" si="2"/>
        <v>25000</v>
      </c>
      <c r="X32" s="204">
        <f t="shared" si="3"/>
        <v>25000</v>
      </c>
    </row>
    <row r="33" spans="2:24" x14ac:dyDescent="0.25">
      <c r="B33" s="73" t="s">
        <v>308</v>
      </c>
      <c r="D33" s="75">
        <v>5</v>
      </c>
      <c r="E33" s="206">
        <v>18000</v>
      </c>
      <c r="F33" s="206">
        <f t="shared" si="1"/>
        <v>90000</v>
      </c>
      <c r="S33" s="204">
        <f t="shared" si="2"/>
        <v>45000</v>
      </c>
      <c r="X33" s="204">
        <f t="shared" si="3"/>
        <v>45000</v>
      </c>
    </row>
    <row r="34" spans="2:24" x14ac:dyDescent="0.25">
      <c r="B34" s="73" t="s">
        <v>307</v>
      </c>
      <c r="D34" s="75">
        <v>6</v>
      </c>
      <c r="E34" s="206">
        <v>15000</v>
      </c>
      <c r="F34" s="206">
        <f t="shared" si="1"/>
        <v>90000</v>
      </c>
      <c r="S34" s="204">
        <f t="shared" si="2"/>
        <v>45000</v>
      </c>
      <c r="X34" s="204">
        <f t="shared" si="3"/>
        <v>45000</v>
      </c>
    </row>
    <row r="35" spans="2:24" x14ac:dyDescent="0.25">
      <c r="B35" s="73" t="s">
        <v>306</v>
      </c>
      <c r="D35" s="75">
        <v>1</v>
      </c>
      <c r="E35" s="206">
        <v>50000</v>
      </c>
      <c r="F35" s="206">
        <f t="shared" si="1"/>
        <v>50000</v>
      </c>
      <c r="S35" s="204">
        <f t="shared" si="2"/>
        <v>25000</v>
      </c>
      <c r="X35" s="204">
        <f t="shared" si="3"/>
        <v>25000</v>
      </c>
    </row>
    <row r="36" spans="2:24" x14ac:dyDescent="0.25">
      <c r="B36" s="73" t="s">
        <v>305</v>
      </c>
      <c r="D36" s="75">
        <v>44</v>
      </c>
      <c r="E36" s="206">
        <v>4000</v>
      </c>
      <c r="F36" s="206">
        <f t="shared" si="1"/>
        <v>176000</v>
      </c>
      <c r="S36" s="204">
        <f t="shared" si="2"/>
        <v>88000</v>
      </c>
      <c r="X36" s="204">
        <f t="shared" si="3"/>
        <v>88000</v>
      </c>
    </row>
    <row r="37" spans="2:24" x14ac:dyDescent="0.25">
      <c r="B37" s="73" t="s">
        <v>304</v>
      </c>
      <c r="D37" s="75">
        <v>45</v>
      </c>
      <c r="E37" s="206">
        <v>2500</v>
      </c>
      <c r="F37" s="206">
        <f t="shared" si="1"/>
        <v>112500</v>
      </c>
      <c r="U37" s="204">
        <f>$F37*0.25</f>
        <v>28125</v>
      </c>
      <c r="X37" s="204">
        <f>$F37*0.75</f>
        <v>84375</v>
      </c>
    </row>
    <row r="38" spans="2:24" x14ac:dyDescent="0.25">
      <c r="B38" s="73" t="s">
        <v>303</v>
      </c>
      <c r="D38" s="75">
        <v>1</v>
      </c>
      <c r="E38" s="206">
        <v>125000</v>
      </c>
      <c r="F38" s="206">
        <f t="shared" si="1"/>
        <v>125000</v>
      </c>
      <c r="T38" s="204">
        <f t="shared" si="2"/>
        <v>62500</v>
      </c>
      <c r="W38" s="204">
        <f t="shared" ref="W38" si="4">$F38*0.5</f>
        <v>62500</v>
      </c>
    </row>
    <row r="39" spans="2:24" x14ac:dyDescent="0.25">
      <c r="B39" s="73" t="s">
        <v>295</v>
      </c>
      <c r="D39" s="75">
        <v>12</v>
      </c>
      <c r="E39" s="206">
        <v>1000</v>
      </c>
      <c r="F39" s="206">
        <f t="shared" si="1"/>
        <v>12000</v>
      </c>
      <c r="X39" s="204">
        <f>$F39</f>
        <v>12000</v>
      </c>
    </row>
    <row r="40" spans="2:24" x14ac:dyDescent="0.25">
      <c r="B40" s="73" t="s">
        <v>302</v>
      </c>
      <c r="F40" s="206">
        <v>10000</v>
      </c>
      <c r="X40" s="204">
        <f>$F40</f>
        <v>10000</v>
      </c>
    </row>
    <row r="41" spans="2:24" x14ac:dyDescent="0.25">
      <c r="B41" s="73" t="s">
        <v>301</v>
      </c>
      <c r="F41" s="206">
        <v>10000</v>
      </c>
      <c r="X41" s="204">
        <f>$F41</f>
        <v>10000</v>
      </c>
    </row>
    <row r="43" spans="2:24" x14ac:dyDescent="0.25">
      <c r="B43" s="74" t="s">
        <v>300</v>
      </c>
      <c r="C43" s="74"/>
    </row>
    <row r="44" spans="2:24" x14ac:dyDescent="0.25">
      <c r="B44" s="73" t="s">
        <v>299</v>
      </c>
      <c r="D44" s="75">
        <v>7</v>
      </c>
      <c r="E44" s="206">
        <v>3000</v>
      </c>
      <c r="F44" s="206">
        <f>D44*E44</f>
        <v>21000</v>
      </c>
      <c r="X44" s="204">
        <f>$F44</f>
        <v>21000</v>
      </c>
    </row>
    <row r="45" spans="2:24" x14ac:dyDescent="0.25">
      <c r="B45" s="73" t="s">
        <v>298</v>
      </c>
      <c r="D45" s="75">
        <v>3</v>
      </c>
      <c r="E45" s="206">
        <v>2000</v>
      </c>
      <c r="F45" s="206">
        <f>D45*E45</f>
        <v>6000</v>
      </c>
      <c r="X45" s="204">
        <f>$F45</f>
        <v>6000</v>
      </c>
    </row>
    <row r="46" spans="2:24" x14ac:dyDescent="0.25">
      <c r="B46" s="73" t="s">
        <v>297</v>
      </c>
      <c r="D46" s="75">
        <v>3</v>
      </c>
      <c r="E46" s="206">
        <v>550</v>
      </c>
      <c r="F46" s="206">
        <f>D46*E46</f>
        <v>1650</v>
      </c>
      <c r="X46" s="204">
        <f>$F46</f>
        <v>1650</v>
      </c>
    </row>
    <row r="47" spans="2:24" x14ac:dyDescent="0.25">
      <c r="B47" s="73" t="s">
        <v>293</v>
      </c>
      <c r="D47" s="75">
        <v>12</v>
      </c>
      <c r="E47" s="206">
        <v>2500</v>
      </c>
      <c r="F47" s="206">
        <f>D47*E47</f>
        <v>30000</v>
      </c>
      <c r="S47" s="204">
        <f t="shared" ref="S47:S48" si="5">$F47*0.5</f>
        <v>15000</v>
      </c>
      <c r="X47" s="204">
        <f t="shared" ref="X47:X48" si="6">$F47*0.5</f>
        <v>15000</v>
      </c>
    </row>
    <row r="48" spans="2:24" x14ac:dyDescent="0.25">
      <c r="B48" s="73" t="s">
        <v>292</v>
      </c>
      <c r="D48" s="75">
        <v>60</v>
      </c>
      <c r="E48" s="206">
        <v>300</v>
      </c>
      <c r="F48" s="206">
        <f>D48*E48</f>
        <v>18000</v>
      </c>
      <c r="S48" s="204">
        <f t="shared" si="5"/>
        <v>9000</v>
      </c>
      <c r="X48" s="204">
        <f t="shared" si="6"/>
        <v>9000</v>
      </c>
    </row>
    <row r="50" spans="1:32" x14ac:dyDescent="0.25">
      <c r="B50" s="74" t="s">
        <v>296</v>
      </c>
      <c r="C50" s="74"/>
    </row>
    <row r="51" spans="1:32" x14ac:dyDescent="0.25">
      <c r="B51" s="73" t="s">
        <v>293</v>
      </c>
      <c r="D51" s="75">
        <v>15</v>
      </c>
      <c r="E51" s="206">
        <v>2500</v>
      </c>
      <c r="F51" s="206">
        <f>D51*E51</f>
        <v>37500</v>
      </c>
      <c r="S51" s="204">
        <f t="shared" ref="S51:S52" si="7">$F51*0.5</f>
        <v>18750</v>
      </c>
      <c r="X51" s="204">
        <f t="shared" ref="X51:X52" si="8">$F51*0.5</f>
        <v>18750</v>
      </c>
    </row>
    <row r="52" spans="1:32" x14ac:dyDescent="0.25">
      <c r="B52" s="73" t="s">
        <v>292</v>
      </c>
      <c r="D52" s="75">
        <v>60</v>
      </c>
      <c r="E52" s="206">
        <v>400</v>
      </c>
      <c r="F52" s="206">
        <f>D52*E52</f>
        <v>24000</v>
      </c>
      <c r="S52" s="204">
        <f t="shared" si="7"/>
        <v>12000</v>
      </c>
      <c r="X52" s="204">
        <f t="shared" si="8"/>
        <v>12000</v>
      </c>
    </row>
    <row r="53" spans="1:32" x14ac:dyDescent="0.25">
      <c r="B53" s="73" t="s">
        <v>295</v>
      </c>
      <c r="D53" s="75">
        <v>2</v>
      </c>
      <c r="E53" s="206">
        <v>3000</v>
      </c>
      <c r="F53" s="206">
        <f>D53*E53</f>
        <v>6000</v>
      </c>
      <c r="X53" s="204">
        <f>$F53</f>
        <v>6000</v>
      </c>
    </row>
    <row r="55" spans="1:32" x14ac:dyDescent="0.25">
      <c r="B55" s="74" t="s">
        <v>294</v>
      </c>
      <c r="C55" s="74"/>
    </row>
    <row r="56" spans="1:32" x14ac:dyDescent="0.25">
      <c r="B56" s="73" t="s">
        <v>293</v>
      </c>
      <c r="D56" s="75">
        <v>10</v>
      </c>
      <c r="E56" s="206">
        <v>2500</v>
      </c>
      <c r="F56" s="206">
        <f>D56*E56</f>
        <v>25000</v>
      </c>
      <c r="S56" s="204">
        <f t="shared" ref="S56:S59" si="9">$F56*0.5</f>
        <v>12500</v>
      </c>
      <c r="X56" s="204">
        <f t="shared" ref="X56:X59" si="10">$F56*0.5</f>
        <v>12500</v>
      </c>
    </row>
    <row r="57" spans="1:32" x14ac:dyDescent="0.25">
      <c r="B57" s="73" t="s">
        <v>292</v>
      </c>
      <c r="D57" s="75">
        <v>60</v>
      </c>
      <c r="E57" s="206">
        <v>400</v>
      </c>
      <c r="F57" s="206">
        <f>D57*E57</f>
        <v>24000</v>
      </c>
      <c r="S57" s="204">
        <f t="shared" si="9"/>
        <v>12000</v>
      </c>
      <c r="X57" s="204">
        <f t="shared" si="10"/>
        <v>12000</v>
      </c>
    </row>
    <row r="59" spans="1:32" x14ac:dyDescent="0.25">
      <c r="B59" s="73" t="s">
        <v>202</v>
      </c>
      <c r="F59" s="206">
        <v>100000</v>
      </c>
      <c r="S59" s="204">
        <f t="shared" si="9"/>
        <v>50000</v>
      </c>
      <c r="X59" s="204">
        <f t="shared" si="10"/>
        <v>50000</v>
      </c>
    </row>
    <row r="61" spans="1:32" ht="15.75" thickBot="1" x14ac:dyDescent="0.3">
      <c r="F61" s="213">
        <f>SUM(F8:F60)</f>
        <v>8962564</v>
      </c>
      <c r="H61" s="16">
        <f t="shared" ref="H61:Y61" si="11">SUM(H8:H60)</f>
        <v>71427</v>
      </c>
      <c r="I61" s="16">
        <f t="shared" si="11"/>
        <v>8560</v>
      </c>
      <c r="J61" s="16">
        <f t="shared" si="11"/>
        <v>8560</v>
      </c>
      <c r="K61" s="16">
        <f t="shared" si="11"/>
        <v>565974</v>
      </c>
      <c r="L61" s="16">
        <f t="shared" si="11"/>
        <v>0</v>
      </c>
      <c r="M61" s="16">
        <f t="shared" si="11"/>
        <v>0</v>
      </c>
      <c r="N61" s="16">
        <f t="shared" si="11"/>
        <v>1800000</v>
      </c>
      <c r="O61" s="16">
        <f t="shared" si="11"/>
        <v>0</v>
      </c>
      <c r="P61" s="16">
        <f t="shared" si="11"/>
        <v>287196.5</v>
      </c>
      <c r="Q61" s="16">
        <f t="shared" si="11"/>
        <v>3010000</v>
      </c>
      <c r="R61" s="16">
        <f t="shared" si="11"/>
        <v>0</v>
      </c>
      <c r="S61" s="16">
        <f t="shared" si="11"/>
        <v>434750</v>
      </c>
      <c r="T61" s="16">
        <f t="shared" si="11"/>
        <v>100000</v>
      </c>
      <c r="U61" s="16">
        <f t="shared" si="11"/>
        <v>1306000</v>
      </c>
      <c r="V61" s="16">
        <f t="shared" si="11"/>
        <v>45000</v>
      </c>
      <c r="W61" s="16">
        <f t="shared" si="11"/>
        <v>401500</v>
      </c>
      <c r="X61" s="16">
        <f t="shared" si="11"/>
        <v>636400</v>
      </c>
      <c r="Y61" s="16">
        <f t="shared" si="11"/>
        <v>287196.5</v>
      </c>
    </row>
    <row r="62" spans="1:32" ht="15.75" thickTop="1" x14ac:dyDescent="0.25"/>
    <row r="63" spans="1:32" x14ac:dyDescent="0.25">
      <c r="A63" s="74" t="s">
        <v>538</v>
      </c>
    </row>
    <row r="64" spans="1:32" customFormat="1" x14ac:dyDescent="0.25">
      <c r="A64" s="42">
        <v>1</v>
      </c>
      <c r="B64" s="29" t="s">
        <v>208</v>
      </c>
      <c r="C64" s="169" t="s">
        <v>207</v>
      </c>
      <c r="D64" s="208">
        <v>45237</v>
      </c>
      <c r="E64" s="206"/>
      <c r="F64" s="209">
        <v>50000</v>
      </c>
      <c r="G64" s="15"/>
      <c r="H64" s="15">
        <f>F64</f>
        <v>50000</v>
      </c>
      <c r="I64" s="15"/>
      <c r="J64" s="15"/>
      <c r="K64" s="15"/>
      <c r="L64" s="15"/>
      <c r="M64" s="226" t="s">
        <v>541</v>
      </c>
      <c r="N64" s="226"/>
      <c r="O64" s="226"/>
      <c r="P64" s="226"/>
      <c r="Q64" s="15"/>
      <c r="R64" s="15"/>
      <c r="S64" s="15"/>
      <c r="T64" s="15"/>
      <c r="U64" s="15"/>
      <c r="V64" s="15"/>
      <c r="W64" s="15"/>
      <c r="X64" s="15"/>
      <c r="Y64" s="15"/>
      <c r="AC64" s="73"/>
      <c r="AD64" s="73"/>
      <c r="AE64" s="73"/>
      <c r="AF64" s="73"/>
    </row>
    <row r="65" spans="1:32" customFormat="1" x14ac:dyDescent="0.25">
      <c r="A65" s="42">
        <v>2</v>
      </c>
      <c r="B65" s="29" t="s">
        <v>208</v>
      </c>
      <c r="C65" s="169" t="s">
        <v>207</v>
      </c>
      <c r="D65" s="208">
        <v>45380</v>
      </c>
      <c r="E65" s="206"/>
      <c r="F65" s="209">
        <v>8560</v>
      </c>
      <c r="G65" s="15"/>
      <c r="H65" s="15">
        <f t="shared" ref="H65:H67" si="12">F65</f>
        <v>8560</v>
      </c>
      <c r="I65" s="15"/>
      <c r="J65" s="15"/>
      <c r="K65" s="15"/>
      <c r="L65" s="15"/>
      <c r="M65" s="226"/>
      <c r="N65" s="226"/>
      <c r="O65" s="226"/>
      <c r="P65" s="226"/>
      <c r="Q65" s="15"/>
      <c r="R65" s="15"/>
      <c r="S65" s="15"/>
      <c r="T65" s="15"/>
      <c r="U65" s="15"/>
      <c r="V65" s="15"/>
      <c r="W65" s="15"/>
      <c r="X65" s="15"/>
      <c r="Y65" s="15"/>
      <c r="AC65" s="73"/>
      <c r="AD65" s="73"/>
      <c r="AE65" s="73"/>
      <c r="AF65" s="73"/>
    </row>
    <row r="66" spans="1:32" customFormat="1" x14ac:dyDescent="0.25">
      <c r="A66" s="42">
        <v>3</v>
      </c>
      <c r="B66" s="29" t="s">
        <v>527</v>
      </c>
      <c r="C66" s="169" t="s">
        <v>207</v>
      </c>
      <c r="D66" s="208">
        <v>45393</v>
      </c>
      <c r="E66" s="206"/>
      <c r="F66" s="209">
        <v>4307</v>
      </c>
      <c r="G66" s="15"/>
      <c r="H66" s="15">
        <f t="shared" si="12"/>
        <v>4307</v>
      </c>
      <c r="I66" s="15"/>
      <c r="J66" s="15"/>
      <c r="K66" s="15"/>
      <c r="L66" s="15"/>
      <c r="M66" s="226"/>
      <c r="N66" s="226"/>
      <c r="O66" s="226"/>
      <c r="P66" s="226"/>
      <c r="Q66" s="15"/>
      <c r="R66" s="15"/>
      <c r="S66" s="15"/>
      <c r="T66" s="15"/>
      <c r="U66" s="15"/>
      <c r="V66" s="15"/>
      <c r="W66" s="15"/>
      <c r="X66" s="15"/>
      <c r="Y66" s="15"/>
      <c r="AC66" s="73"/>
      <c r="AD66" s="73"/>
      <c r="AE66" s="73"/>
      <c r="AF66" s="73"/>
    </row>
    <row r="67" spans="1:32" customFormat="1" x14ac:dyDescent="0.25">
      <c r="A67" s="42">
        <v>4</v>
      </c>
      <c r="B67" s="29" t="s">
        <v>208</v>
      </c>
      <c r="C67" s="169" t="s">
        <v>207</v>
      </c>
      <c r="D67" s="208">
        <v>45400</v>
      </c>
      <c r="E67" s="206"/>
      <c r="F67" s="209">
        <v>8560</v>
      </c>
      <c r="G67" s="15"/>
      <c r="H67" s="15">
        <f t="shared" si="12"/>
        <v>8560</v>
      </c>
      <c r="I67" s="15"/>
      <c r="J67" s="15"/>
      <c r="K67" s="15"/>
      <c r="L67" s="15"/>
      <c r="M67" s="226"/>
      <c r="N67" s="226"/>
      <c r="O67" s="226"/>
      <c r="P67" s="226"/>
      <c r="Q67" s="15"/>
      <c r="R67" s="15"/>
      <c r="S67" s="15"/>
      <c r="T67" s="15"/>
      <c r="U67" s="15"/>
      <c r="V67" s="15"/>
      <c r="W67" s="15"/>
      <c r="X67" s="15"/>
      <c r="Y67" s="15"/>
      <c r="AC67" s="73"/>
      <c r="AD67" s="73"/>
      <c r="AE67" s="73"/>
      <c r="AF67" s="73"/>
    </row>
    <row r="68" spans="1:32" customFormat="1" x14ac:dyDescent="0.25">
      <c r="B68" s="29" t="s">
        <v>208</v>
      </c>
      <c r="C68" s="169" t="s">
        <v>207</v>
      </c>
      <c r="D68" s="75"/>
      <c r="E68" s="206"/>
      <c r="F68" s="206"/>
      <c r="G68" s="15"/>
      <c r="H68" s="15"/>
      <c r="I68" s="15">
        <v>8560</v>
      </c>
      <c r="J68" s="15">
        <v>8560</v>
      </c>
      <c r="K68" s="15">
        <f>600214-F65-F67-I68-J68</f>
        <v>565974</v>
      </c>
      <c r="L68" s="15"/>
      <c r="M68" s="226"/>
      <c r="N68" s="226"/>
      <c r="O68" s="226"/>
      <c r="P68" s="226"/>
      <c r="Q68" s="15"/>
      <c r="R68" s="15"/>
      <c r="S68" s="15"/>
      <c r="T68" s="15"/>
      <c r="U68" s="15"/>
      <c r="V68" s="15"/>
      <c r="W68" s="15"/>
      <c r="X68" s="15"/>
      <c r="Y68" s="15"/>
      <c r="AC68" s="73"/>
      <c r="AD68" s="73"/>
      <c r="AE68" s="73"/>
      <c r="AF68" s="73"/>
    </row>
    <row r="69" spans="1:32" customFormat="1" x14ac:dyDescent="0.25">
      <c r="B69" s="29"/>
      <c r="C69" s="169"/>
      <c r="D69" s="75"/>
      <c r="E69" s="206"/>
      <c r="F69" s="20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32" customFormat="1" ht="15.75" thickBot="1" x14ac:dyDescent="0.3">
      <c r="B70" s="29"/>
      <c r="C70" s="169"/>
      <c r="D70" s="75"/>
      <c r="E70" s="206"/>
      <c r="F70" s="213">
        <f>SUM(F64:F69)</f>
        <v>71427</v>
      </c>
      <c r="G70" s="15"/>
      <c r="H70" s="16">
        <f t="shared" ref="H70:L70" si="13">SUM(H64:H69)</f>
        <v>71427</v>
      </c>
      <c r="I70" s="16">
        <f t="shared" si="13"/>
        <v>8560</v>
      </c>
      <c r="J70" s="16">
        <f t="shared" si="13"/>
        <v>8560</v>
      </c>
      <c r="K70" s="16">
        <f t="shared" si="13"/>
        <v>565974</v>
      </c>
      <c r="L70" s="16">
        <f t="shared" si="13"/>
        <v>0</v>
      </c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52"/>
      <c r="AA70" s="52"/>
    </row>
    <row r="71" spans="1:32" customFormat="1" ht="15.75" thickTop="1" x14ac:dyDescent="0.25">
      <c r="D71" s="212"/>
      <c r="E71" s="209"/>
      <c r="F71" s="20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3" spans="1:32" x14ac:dyDescent="0.25">
      <c r="B73" s="171" t="s">
        <v>540</v>
      </c>
    </row>
    <row r="74" spans="1:32" x14ac:dyDescent="0.25">
      <c r="B74" s="171" t="s">
        <v>539</v>
      </c>
    </row>
  </sheetData>
  <mergeCells count="1">
    <mergeCell ref="M64:P68"/>
  </mergeCells>
  <pageMargins left="0.7" right="0.7" top="0.75" bottom="0.75" header="0.3" footer="0.3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57C47-42C6-4BE1-ACBE-D477D764C740}">
  <sheetPr>
    <tabColor rgb="FF00B050"/>
  </sheetPr>
  <dimension ref="A1:AT22"/>
  <sheetViews>
    <sheetView workbookViewId="0">
      <selection activeCell="P9" sqref="P9"/>
    </sheetView>
  </sheetViews>
  <sheetFormatPr defaultRowHeight="15" x14ac:dyDescent="0.25"/>
  <cols>
    <col min="1" max="1" width="19.28515625" customWidth="1"/>
    <col min="2" max="2" width="6.5703125" bestFit="1" customWidth="1"/>
    <col min="3" max="3" width="9.140625" customWidth="1"/>
    <col min="4" max="4" width="12.5703125" bestFit="1" customWidth="1"/>
    <col min="5" max="5" width="14.28515625" bestFit="1" customWidth="1"/>
    <col min="6" max="6" width="13.28515625" bestFit="1" customWidth="1"/>
    <col min="7" max="14" width="11.5703125" bestFit="1" customWidth="1"/>
    <col min="15" max="41" width="12.5703125" bestFit="1" customWidth="1"/>
    <col min="42" max="42" width="11.5703125" bestFit="1" customWidth="1"/>
  </cols>
  <sheetData>
    <row r="1" spans="1:46" x14ac:dyDescent="0.25">
      <c r="A1" s="54" t="s">
        <v>289</v>
      </c>
      <c r="B1" s="54"/>
    </row>
    <row r="2" spans="1:46" x14ac:dyDescent="0.25">
      <c r="A2" s="54" t="s">
        <v>442</v>
      </c>
      <c r="B2" s="54"/>
    </row>
    <row r="3" spans="1:46" x14ac:dyDescent="0.25">
      <c r="A3" s="54" t="s">
        <v>419</v>
      </c>
      <c r="B3" s="54"/>
      <c r="F3" t="s">
        <v>519</v>
      </c>
    </row>
    <row r="6" spans="1:46" x14ac:dyDescent="0.25">
      <c r="C6" s="96"/>
      <c r="D6" s="97"/>
    </row>
    <row r="7" spans="1:46" s="1" customFormat="1" ht="12.75" x14ac:dyDescent="0.2">
      <c r="D7" s="1" t="s">
        <v>0</v>
      </c>
      <c r="E7" s="101">
        <v>45322</v>
      </c>
      <c r="F7" s="101">
        <v>45351</v>
      </c>
      <c r="G7" s="101">
        <v>45382</v>
      </c>
      <c r="H7" s="101">
        <v>45412</v>
      </c>
      <c r="I7" s="101">
        <v>45443</v>
      </c>
      <c r="J7" s="101">
        <v>45473</v>
      </c>
      <c r="K7" s="101">
        <v>45504</v>
      </c>
      <c r="L7" s="101">
        <v>45535</v>
      </c>
      <c r="M7" s="101">
        <v>45565</v>
      </c>
      <c r="N7" s="101">
        <v>45596</v>
      </c>
      <c r="O7" s="101">
        <v>45626</v>
      </c>
      <c r="P7" s="101">
        <v>45657</v>
      </c>
      <c r="Q7" s="101">
        <v>45688</v>
      </c>
      <c r="R7" s="101">
        <v>45716</v>
      </c>
      <c r="S7" s="101">
        <v>45747</v>
      </c>
      <c r="T7" s="101">
        <v>45777</v>
      </c>
      <c r="U7" s="101">
        <v>45808</v>
      </c>
      <c r="V7" s="101">
        <v>45838</v>
      </c>
      <c r="W7" s="101">
        <v>45869</v>
      </c>
      <c r="X7" s="101">
        <v>45900</v>
      </c>
      <c r="Y7" s="101">
        <v>45930</v>
      </c>
      <c r="Z7" s="101">
        <v>45961</v>
      </c>
      <c r="AA7" s="101">
        <v>45991</v>
      </c>
      <c r="AB7" s="101">
        <v>46022</v>
      </c>
      <c r="AC7" s="101">
        <v>46053</v>
      </c>
      <c r="AD7" s="101">
        <v>46081</v>
      </c>
      <c r="AE7" s="101">
        <v>46112</v>
      </c>
      <c r="AF7" s="101">
        <v>46142</v>
      </c>
      <c r="AG7" s="101">
        <v>46173</v>
      </c>
      <c r="AH7" s="101">
        <v>46203</v>
      </c>
      <c r="AI7" s="101">
        <v>46234</v>
      </c>
      <c r="AJ7" s="101">
        <v>46265</v>
      </c>
      <c r="AK7" s="101">
        <v>46295</v>
      </c>
      <c r="AL7" s="101">
        <v>46326</v>
      </c>
      <c r="AM7" s="101">
        <v>46356</v>
      </c>
      <c r="AN7" s="101">
        <v>46387</v>
      </c>
      <c r="AO7" s="101">
        <v>46418</v>
      </c>
      <c r="AP7" s="102"/>
      <c r="AQ7" s="102"/>
      <c r="AR7" s="102"/>
      <c r="AS7" s="102"/>
      <c r="AT7" s="102"/>
    </row>
    <row r="8" spans="1:46" x14ac:dyDescent="0.25">
      <c r="A8" t="s">
        <v>413</v>
      </c>
      <c r="E8" s="98"/>
      <c r="F8" s="99">
        <v>5.3400000000000003E-2</v>
      </c>
      <c r="G8" s="99">
        <v>5.33E-2</v>
      </c>
      <c r="H8" s="99">
        <v>5.1799999999999999E-2</v>
      </c>
      <c r="I8" s="99">
        <v>5.0200000000000002E-2</v>
      </c>
      <c r="J8" s="99">
        <v>4.8899999999999999E-2</v>
      </c>
      <c r="K8" s="99">
        <v>4.7300000000000002E-2</v>
      </c>
      <c r="L8" s="99">
        <v>4.5999999999999999E-2</v>
      </c>
      <c r="M8" s="99">
        <v>4.5100000000000001E-2</v>
      </c>
      <c r="N8" s="99">
        <v>4.3200000000000002E-2</v>
      </c>
      <c r="O8" s="99">
        <v>4.2299999999999997E-2</v>
      </c>
      <c r="P8" s="99">
        <v>4.1200000000000001E-2</v>
      </c>
      <c r="Q8" s="99">
        <v>3.7199999999999997E-2</v>
      </c>
      <c r="R8" s="99">
        <v>3.7199999999999997E-2</v>
      </c>
      <c r="S8" s="99">
        <v>3.7199999999999997E-2</v>
      </c>
      <c r="T8" s="99">
        <v>3.7199999999999997E-2</v>
      </c>
      <c r="U8" s="99">
        <v>3.7199999999999997E-2</v>
      </c>
      <c r="V8" s="99">
        <v>3.7199999999999997E-2</v>
      </c>
      <c r="W8" s="99">
        <v>3.3099999999999997E-2</v>
      </c>
      <c r="X8" s="99">
        <v>3.2899999999999999E-2</v>
      </c>
      <c r="Y8" s="99">
        <v>3.2899999999999999E-2</v>
      </c>
      <c r="Z8" s="99">
        <v>3.2899999999999999E-2</v>
      </c>
      <c r="AA8" s="99">
        <v>3.2899999999999999E-2</v>
      </c>
      <c r="AB8" s="99">
        <v>3.2899999999999999E-2</v>
      </c>
      <c r="AC8" s="99">
        <v>3.1800000000000002E-2</v>
      </c>
      <c r="AD8" s="99">
        <v>3.1800000000000002E-2</v>
      </c>
      <c r="AE8" s="99">
        <v>3.1800000000000002E-2</v>
      </c>
      <c r="AF8" s="99">
        <v>3.1800000000000002E-2</v>
      </c>
      <c r="AG8" s="99">
        <v>3.1800000000000002E-2</v>
      </c>
      <c r="AH8" s="99">
        <v>3.1800000000000002E-2</v>
      </c>
      <c r="AI8" s="99">
        <v>3.1800000000000002E-2</v>
      </c>
      <c r="AJ8" s="99">
        <v>3.1800000000000002E-2</v>
      </c>
      <c r="AK8" s="99">
        <v>3.1800000000000002E-2</v>
      </c>
      <c r="AL8" s="99">
        <v>3.1800000000000002E-2</v>
      </c>
      <c r="AM8" s="99">
        <v>3.1800000000000002E-2</v>
      </c>
      <c r="AN8" s="99">
        <v>3.1800000000000002E-2</v>
      </c>
      <c r="AO8" s="99">
        <v>3.15E-2</v>
      </c>
      <c r="AP8" s="90"/>
      <c r="AQ8" s="90"/>
      <c r="AR8" s="90"/>
      <c r="AS8" s="90"/>
      <c r="AT8" s="90"/>
    </row>
    <row r="9" spans="1:46" x14ac:dyDescent="0.25">
      <c r="A9" t="s">
        <v>428</v>
      </c>
      <c r="C9" s="96">
        <v>0.04</v>
      </c>
      <c r="E9" s="3"/>
      <c r="F9" s="99">
        <f>IF(F8&gt;$C$9,F8,$C$9)</f>
        <v>5.3400000000000003E-2</v>
      </c>
      <c r="G9" s="99">
        <f t="shared" ref="G9:AO9" si="0">IF(G8&gt;$C$9,G8,$C$9)</f>
        <v>5.33E-2</v>
      </c>
      <c r="H9" s="99">
        <f t="shared" si="0"/>
        <v>5.1799999999999999E-2</v>
      </c>
      <c r="I9" s="99">
        <f t="shared" si="0"/>
        <v>5.0200000000000002E-2</v>
      </c>
      <c r="J9" s="99">
        <f t="shared" si="0"/>
        <v>4.8899999999999999E-2</v>
      </c>
      <c r="K9" s="99">
        <f t="shared" si="0"/>
        <v>4.7300000000000002E-2</v>
      </c>
      <c r="L9" s="99">
        <f t="shared" si="0"/>
        <v>4.5999999999999999E-2</v>
      </c>
      <c r="M9" s="99">
        <f t="shared" si="0"/>
        <v>4.5100000000000001E-2</v>
      </c>
      <c r="N9" s="99">
        <f t="shared" si="0"/>
        <v>4.3200000000000002E-2</v>
      </c>
      <c r="O9" s="99">
        <f t="shared" si="0"/>
        <v>4.2299999999999997E-2</v>
      </c>
      <c r="P9" s="99">
        <f t="shared" si="0"/>
        <v>4.1200000000000001E-2</v>
      </c>
      <c r="Q9" s="99">
        <f t="shared" si="0"/>
        <v>0.04</v>
      </c>
      <c r="R9" s="99">
        <f t="shared" si="0"/>
        <v>0.04</v>
      </c>
      <c r="S9" s="99">
        <f t="shared" si="0"/>
        <v>0.04</v>
      </c>
      <c r="T9" s="99">
        <f t="shared" si="0"/>
        <v>0.04</v>
      </c>
      <c r="U9" s="99">
        <f t="shared" si="0"/>
        <v>0.04</v>
      </c>
      <c r="V9" s="99">
        <f t="shared" si="0"/>
        <v>0.04</v>
      </c>
      <c r="W9" s="99">
        <f t="shared" si="0"/>
        <v>0.04</v>
      </c>
      <c r="X9" s="99">
        <f t="shared" si="0"/>
        <v>0.04</v>
      </c>
      <c r="Y9" s="99">
        <f t="shared" si="0"/>
        <v>0.04</v>
      </c>
      <c r="Z9" s="99">
        <f t="shared" si="0"/>
        <v>0.04</v>
      </c>
      <c r="AA9" s="99">
        <f t="shared" si="0"/>
        <v>0.04</v>
      </c>
      <c r="AB9" s="99">
        <f t="shared" si="0"/>
        <v>0.04</v>
      </c>
      <c r="AC9" s="99">
        <f t="shared" si="0"/>
        <v>0.04</v>
      </c>
      <c r="AD9" s="99">
        <f t="shared" si="0"/>
        <v>0.04</v>
      </c>
      <c r="AE9" s="99">
        <f t="shared" si="0"/>
        <v>0.04</v>
      </c>
      <c r="AF9" s="99">
        <f t="shared" si="0"/>
        <v>0.04</v>
      </c>
      <c r="AG9" s="99">
        <f t="shared" si="0"/>
        <v>0.04</v>
      </c>
      <c r="AH9" s="99">
        <f t="shared" si="0"/>
        <v>0.04</v>
      </c>
      <c r="AI9" s="99">
        <f t="shared" si="0"/>
        <v>0.04</v>
      </c>
      <c r="AJ9" s="99">
        <f t="shared" si="0"/>
        <v>0.04</v>
      </c>
      <c r="AK9" s="99">
        <f t="shared" si="0"/>
        <v>0.04</v>
      </c>
      <c r="AL9" s="99">
        <f t="shared" si="0"/>
        <v>0.04</v>
      </c>
      <c r="AM9" s="99">
        <f t="shared" si="0"/>
        <v>0.04</v>
      </c>
      <c r="AN9" s="99">
        <f t="shared" si="0"/>
        <v>0.04</v>
      </c>
      <c r="AO9" s="99">
        <f t="shared" si="0"/>
        <v>0.04</v>
      </c>
    </row>
    <row r="10" spans="1:46" x14ac:dyDescent="0.25">
      <c r="A10" t="s">
        <v>414</v>
      </c>
      <c r="B10" t="s">
        <v>61</v>
      </c>
      <c r="E10" s="3">
        <v>0</v>
      </c>
      <c r="F10" s="3" t="e">
        <f>E14</f>
        <v>#REF!</v>
      </c>
      <c r="G10" s="3" t="e">
        <f t="shared" ref="G10:AI10" si="1">F14</f>
        <v>#REF!</v>
      </c>
      <c r="H10" s="3" t="e">
        <f t="shared" si="1"/>
        <v>#REF!</v>
      </c>
      <c r="I10" s="3" t="e">
        <f t="shared" si="1"/>
        <v>#REF!</v>
      </c>
      <c r="J10" s="3" t="e">
        <f t="shared" si="1"/>
        <v>#REF!</v>
      </c>
      <c r="K10" s="3" t="e">
        <f t="shared" si="1"/>
        <v>#REF!</v>
      </c>
      <c r="L10" s="3" t="e">
        <f t="shared" si="1"/>
        <v>#REF!</v>
      </c>
      <c r="M10" s="3" t="e">
        <f t="shared" si="1"/>
        <v>#REF!</v>
      </c>
      <c r="N10" s="3" t="e">
        <f t="shared" si="1"/>
        <v>#REF!</v>
      </c>
      <c r="O10" s="3" t="e">
        <f t="shared" si="1"/>
        <v>#REF!</v>
      </c>
      <c r="P10" s="3" t="e">
        <f t="shared" si="1"/>
        <v>#REF!</v>
      </c>
      <c r="Q10" s="3" t="e">
        <f t="shared" si="1"/>
        <v>#REF!</v>
      </c>
      <c r="R10" s="3" t="e">
        <f t="shared" si="1"/>
        <v>#REF!</v>
      </c>
      <c r="S10" s="3" t="e">
        <f t="shared" si="1"/>
        <v>#REF!</v>
      </c>
      <c r="T10" s="3" t="e">
        <f t="shared" si="1"/>
        <v>#REF!</v>
      </c>
      <c r="U10" s="3" t="e">
        <f t="shared" si="1"/>
        <v>#REF!</v>
      </c>
      <c r="V10" s="3" t="e">
        <f t="shared" si="1"/>
        <v>#REF!</v>
      </c>
      <c r="W10" s="3" t="e">
        <f t="shared" si="1"/>
        <v>#REF!</v>
      </c>
      <c r="X10" s="3" t="e">
        <f t="shared" si="1"/>
        <v>#REF!</v>
      </c>
      <c r="Y10" s="3" t="e">
        <f t="shared" si="1"/>
        <v>#REF!</v>
      </c>
      <c r="Z10" s="3" t="e">
        <f t="shared" si="1"/>
        <v>#REF!</v>
      </c>
      <c r="AA10" s="3" t="e">
        <f t="shared" si="1"/>
        <v>#REF!</v>
      </c>
      <c r="AB10" s="3" t="e">
        <f t="shared" si="1"/>
        <v>#REF!</v>
      </c>
      <c r="AC10" s="3" t="e">
        <f t="shared" si="1"/>
        <v>#REF!</v>
      </c>
      <c r="AD10" s="3" t="e">
        <f t="shared" si="1"/>
        <v>#REF!</v>
      </c>
      <c r="AE10" s="3" t="e">
        <f t="shared" si="1"/>
        <v>#REF!</v>
      </c>
      <c r="AF10" s="3" t="e">
        <f t="shared" si="1"/>
        <v>#REF!</v>
      </c>
      <c r="AG10" s="3" t="e">
        <f t="shared" si="1"/>
        <v>#REF!</v>
      </c>
      <c r="AH10" s="3" t="e">
        <f t="shared" si="1"/>
        <v>#REF!</v>
      </c>
      <c r="AI10" s="3" t="e">
        <f t="shared" si="1"/>
        <v>#REF!</v>
      </c>
      <c r="AJ10" s="3"/>
      <c r="AK10" s="3"/>
      <c r="AL10" s="3"/>
      <c r="AM10" s="3"/>
      <c r="AN10" s="3"/>
      <c r="AO10" s="3"/>
    </row>
    <row r="11" spans="1:46" x14ac:dyDescent="0.25">
      <c r="A11" t="s">
        <v>415</v>
      </c>
      <c r="B11" t="s">
        <v>62</v>
      </c>
      <c r="D11" s="52" t="e">
        <f>SUM(E11:AO11)</f>
        <v>#REF!</v>
      </c>
      <c r="E11" s="3" t="e">
        <f>'Development Costs'!#REF!+'Development Costs'!#REF!-7456693</f>
        <v>#REF!</v>
      </c>
      <c r="F11" s="3">
        <f>'Development Costs'!J66</f>
        <v>0</v>
      </c>
      <c r="G11" s="3">
        <f>'Development Costs'!K66</f>
        <v>401394.66000000003</v>
      </c>
      <c r="H11" s="3">
        <f>'Development Costs'!L66</f>
        <v>217821.72</v>
      </c>
      <c r="I11" s="3">
        <f>'Development Costs'!P66</f>
        <v>26502281.003899999</v>
      </c>
      <c r="J11" s="3">
        <f>'Development Costs'!R66</f>
        <v>861558.36</v>
      </c>
      <c r="K11" s="3">
        <f>'Development Costs'!S66</f>
        <v>349171</v>
      </c>
      <c r="L11" s="3">
        <f>'Development Costs'!T66</f>
        <v>7887880</v>
      </c>
      <c r="M11" s="3">
        <f>'Development Costs'!U66</f>
        <v>5985628</v>
      </c>
      <c r="N11" s="3">
        <f>'Development Costs'!V66</f>
        <v>5245711.5</v>
      </c>
      <c r="O11" s="3">
        <f>'Development Costs'!W66</f>
        <v>7468482</v>
      </c>
      <c r="P11" s="3">
        <f>'Development Costs'!X66</f>
        <v>6745434</v>
      </c>
      <c r="Q11" s="3">
        <f>'Development Costs'!Y66</f>
        <v>10515446</v>
      </c>
      <c r="R11" s="3">
        <f>'Development Costs'!Z66</f>
        <v>7458400</v>
      </c>
      <c r="S11" s="3">
        <f>'Development Costs'!AA66</f>
        <v>6625523</v>
      </c>
      <c r="T11" s="3">
        <f>'Development Costs'!AB66</f>
        <v>9014329</v>
      </c>
      <c r="U11" s="3">
        <f>'Development Costs'!AC66</f>
        <v>7839752</v>
      </c>
      <c r="V11" s="3">
        <f>'Development Costs'!AD66</f>
        <v>7484311</v>
      </c>
      <c r="W11" s="3">
        <f>'Development Costs'!AE66</f>
        <v>7011144.5</v>
      </c>
      <c r="X11" s="3">
        <f>'Development Costs'!AF66</f>
        <v>3085451</v>
      </c>
      <c r="Y11" s="3">
        <f>'Development Costs'!AG66</f>
        <v>2624422</v>
      </c>
      <c r="Z11" s="3">
        <f>'Development Costs'!AH66</f>
        <v>2645342</v>
      </c>
      <c r="AA11" s="3">
        <f>'Development Costs'!AI66</f>
        <v>0</v>
      </c>
      <c r="AB11" s="3">
        <f>'Development Costs'!AJ66</f>
        <v>0</v>
      </c>
      <c r="AC11" s="3">
        <f>'Development Costs'!AK66</f>
        <v>0</v>
      </c>
      <c r="AD11" s="3">
        <f>'Development Costs'!AL66</f>
        <v>0</v>
      </c>
      <c r="AE11" s="3">
        <f>'Development Costs'!AM66</f>
        <v>0</v>
      </c>
      <c r="AF11" s="3">
        <f>'Development Costs'!AN66</f>
        <v>0</v>
      </c>
      <c r="AG11" s="3">
        <f>'Development Costs'!AO66</f>
        <v>0</v>
      </c>
      <c r="AH11" s="3">
        <f>'Development Costs'!AP66</f>
        <v>0</v>
      </c>
      <c r="AI11" s="3">
        <f>'Development Costs'!AQ66</f>
        <v>0</v>
      </c>
      <c r="AJ11" s="3"/>
      <c r="AK11" s="3"/>
      <c r="AL11" s="3"/>
      <c r="AM11" s="3"/>
      <c r="AN11" s="3"/>
      <c r="AO11" s="3"/>
    </row>
    <row r="12" spans="1:46" x14ac:dyDescent="0.25">
      <c r="A12" t="s">
        <v>416</v>
      </c>
      <c r="C12" s="100">
        <v>0.06</v>
      </c>
      <c r="D12" s="52" t="e">
        <f>SUM(E12:AO12)</f>
        <v>#REF!</v>
      </c>
      <c r="E12" s="3">
        <v>0</v>
      </c>
      <c r="F12" s="3" t="e">
        <f>F10*($C$12+F$9)/360*(F7-E7)</f>
        <v>#REF!</v>
      </c>
      <c r="G12" s="3" t="e">
        <f t="shared" ref="G12:AI12" si="2">G10*($C$12+G$9)/360*(G7-F7)</f>
        <v>#REF!</v>
      </c>
      <c r="H12" s="3" t="e">
        <f t="shared" si="2"/>
        <v>#REF!</v>
      </c>
      <c r="I12" s="3" t="e">
        <f t="shared" si="2"/>
        <v>#REF!</v>
      </c>
      <c r="J12" s="3" t="e">
        <f t="shared" si="2"/>
        <v>#REF!</v>
      </c>
      <c r="K12" s="3" t="e">
        <f t="shared" si="2"/>
        <v>#REF!</v>
      </c>
      <c r="L12" s="3" t="e">
        <f t="shared" si="2"/>
        <v>#REF!</v>
      </c>
      <c r="M12" s="3" t="e">
        <f t="shared" si="2"/>
        <v>#REF!</v>
      </c>
      <c r="N12" s="3" t="e">
        <f t="shared" si="2"/>
        <v>#REF!</v>
      </c>
      <c r="O12" s="3" t="e">
        <f t="shared" si="2"/>
        <v>#REF!</v>
      </c>
      <c r="P12" s="3" t="e">
        <f t="shared" si="2"/>
        <v>#REF!</v>
      </c>
      <c r="Q12" s="3" t="e">
        <f t="shared" si="2"/>
        <v>#REF!</v>
      </c>
      <c r="R12" s="3" t="e">
        <f t="shared" si="2"/>
        <v>#REF!</v>
      </c>
      <c r="S12" s="3" t="e">
        <f t="shared" si="2"/>
        <v>#REF!</v>
      </c>
      <c r="T12" s="3" t="e">
        <f t="shared" si="2"/>
        <v>#REF!</v>
      </c>
      <c r="U12" s="3" t="e">
        <f t="shared" si="2"/>
        <v>#REF!</v>
      </c>
      <c r="V12" s="3" t="e">
        <f t="shared" si="2"/>
        <v>#REF!</v>
      </c>
      <c r="W12" s="3" t="e">
        <f t="shared" si="2"/>
        <v>#REF!</v>
      </c>
      <c r="X12" s="3" t="e">
        <f t="shared" si="2"/>
        <v>#REF!</v>
      </c>
      <c r="Y12" s="3" t="e">
        <f t="shared" si="2"/>
        <v>#REF!</v>
      </c>
      <c r="Z12" s="3" t="e">
        <f t="shared" si="2"/>
        <v>#REF!</v>
      </c>
      <c r="AA12" s="3" t="e">
        <f t="shared" si="2"/>
        <v>#REF!</v>
      </c>
      <c r="AB12" s="3" t="e">
        <f t="shared" si="2"/>
        <v>#REF!</v>
      </c>
      <c r="AC12" s="3" t="e">
        <f t="shared" si="2"/>
        <v>#REF!</v>
      </c>
      <c r="AD12" s="3" t="e">
        <f t="shared" si="2"/>
        <v>#REF!</v>
      </c>
      <c r="AE12" s="3" t="e">
        <f t="shared" si="2"/>
        <v>#REF!</v>
      </c>
      <c r="AF12" s="3" t="e">
        <f t="shared" si="2"/>
        <v>#REF!</v>
      </c>
      <c r="AG12" s="3" t="e">
        <f t="shared" si="2"/>
        <v>#REF!</v>
      </c>
      <c r="AH12" s="3" t="e">
        <f t="shared" si="2"/>
        <v>#REF!</v>
      </c>
      <c r="AI12" s="3" t="e">
        <f t="shared" si="2"/>
        <v>#REF!</v>
      </c>
      <c r="AJ12" s="3"/>
      <c r="AK12" s="3"/>
      <c r="AL12" s="3"/>
      <c r="AM12" s="3"/>
      <c r="AN12" s="3"/>
      <c r="AO12" s="3"/>
    </row>
    <row r="13" spans="1:46" x14ac:dyDescent="0.25">
      <c r="A13" t="s">
        <v>417</v>
      </c>
      <c r="B13" t="s">
        <v>420</v>
      </c>
      <c r="C13" s="96">
        <f>C16-C12</f>
        <v>4.0000000000000008E-2</v>
      </c>
      <c r="D13" s="52" t="e">
        <f>SUM(E13:AO13)</f>
        <v>#REF!</v>
      </c>
      <c r="E13" s="3">
        <v>0</v>
      </c>
      <c r="F13" s="3" t="e">
        <f>F10*$C$13/360*(F7-E7)</f>
        <v>#REF!</v>
      </c>
      <c r="G13" s="3" t="e">
        <f t="shared" ref="G13:AI13" si="3">G10*$C$13/360*(G7-F7)</f>
        <v>#REF!</v>
      </c>
      <c r="H13" s="3" t="e">
        <f t="shared" si="3"/>
        <v>#REF!</v>
      </c>
      <c r="I13" s="3" t="e">
        <f t="shared" si="3"/>
        <v>#REF!</v>
      </c>
      <c r="J13" s="3" t="e">
        <f t="shared" si="3"/>
        <v>#REF!</v>
      </c>
      <c r="K13" s="3" t="e">
        <f t="shared" si="3"/>
        <v>#REF!</v>
      </c>
      <c r="L13" s="3" t="e">
        <f t="shared" si="3"/>
        <v>#REF!</v>
      </c>
      <c r="M13" s="3" t="e">
        <f t="shared" si="3"/>
        <v>#REF!</v>
      </c>
      <c r="N13" s="3" t="e">
        <f t="shared" si="3"/>
        <v>#REF!</v>
      </c>
      <c r="O13" s="3" t="e">
        <f t="shared" si="3"/>
        <v>#REF!</v>
      </c>
      <c r="P13" s="3" t="e">
        <f t="shared" si="3"/>
        <v>#REF!</v>
      </c>
      <c r="Q13" s="3" t="e">
        <f t="shared" si="3"/>
        <v>#REF!</v>
      </c>
      <c r="R13" s="3" t="e">
        <f t="shared" si="3"/>
        <v>#REF!</v>
      </c>
      <c r="S13" s="3" t="e">
        <f t="shared" si="3"/>
        <v>#REF!</v>
      </c>
      <c r="T13" s="3" t="e">
        <f t="shared" si="3"/>
        <v>#REF!</v>
      </c>
      <c r="U13" s="3" t="e">
        <f t="shared" si="3"/>
        <v>#REF!</v>
      </c>
      <c r="V13" s="3" t="e">
        <f t="shared" si="3"/>
        <v>#REF!</v>
      </c>
      <c r="W13" s="3" t="e">
        <f t="shared" si="3"/>
        <v>#REF!</v>
      </c>
      <c r="X13" s="3" t="e">
        <f t="shared" si="3"/>
        <v>#REF!</v>
      </c>
      <c r="Y13" s="3" t="e">
        <f t="shared" si="3"/>
        <v>#REF!</v>
      </c>
      <c r="Z13" s="3" t="e">
        <f t="shared" si="3"/>
        <v>#REF!</v>
      </c>
      <c r="AA13" s="3" t="e">
        <f t="shared" si="3"/>
        <v>#REF!</v>
      </c>
      <c r="AB13" s="3" t="e">
        <f t="shared" si="3"/>
        <v>#REF!</v>
      </c>
      <c r="AC13" s="3" t="e">
        <f t="shared" si="3"/>
        <v>#REF!</v>
      </c>
      <c r="AD13" s="3" t="e">
        <f t="shared" si="3"/>
        <v>#REF!</v>
      </c>
      <c r="AE13" s="3" t="e">
        <f t="shared" si="3"/>
        <v>#REF!</v>
      </c>
      <c r="AF13" s="3" t="e">
        <f t="shared" si="3"/>
        <v>#REF!</v>
      </c>
      <c r="AG13" s="3" t="e">
        <f t="shared" si="3"/>
        <v>#REF!</v>
      </c>
      <c r="AH13" s="3" t="e">
        <f t="shared" si="3"/>
        <v>#REF!</v>
      </c>
      <c r="AI13" s="3" t="e">
        <f t="shared" si="3"/>
        <v>#REF!</v>
      </c>
      <c r="AJ13" s="3"/>
      <c r="AK13" s="3"/>
      <c r="AL13" s="3"/>
      <c r="AM13" s="3"/>
      <c r="AN13" s="3"/>
      <c r="AO13" s="3"/>
    </row>
    <row r="14" spans="1:46" x14ac:dyDescent="0.25">
      <c r="A14" t="s">
        <v>418</v>
      </c>
      <c r="B14" t="s">
        <v>421</v>
      </c>
      <c r="E14" s="3" t="e">
        <f>E10+E11+E13</f>
        <v>#REF!</v>
      </c>
      <c r="F14" s="3" t="e">
        <f t="shared" ref="F14:AI14" si="4">F10+F11+F13</f>
        <v>#REF!</v>
      </c>
      <c r="G14" s="3" t="e">
        <f t="shared" si="4"/>
        <v>#REF!</v>
      </c>
      <c r="H14" s="3" t="e">
        <f t="shared" si="4"/>
        <v>#REF!</v>
      </c>
      <c r="I14" s="3" t="e">
        <f t="shared" si="4"/>
        <v>#REF!</v>
      </c>
      <c r="J14" s="3" t="e">
        <f t="shared" si="4"/>
        <v>#REF!</v>
      </c>
      <c r="K14" s="3" t="e">
        <f t="shared" si="4"/>
        <v>#REF!</v>
      </c>
      <c r="L14" s="3" t="e">
        <f t="shared" si="4"/>
        <v>#REF!</v>
      </c>
      <c r="M14" s="3" t="e">
        <f t="shared" si="4"/>
        <v>#REF!</v>
      </c>
      <c r="N14" s="3" t="e">
        <f t="shared" si="4"/>
        <v>#REF!</v>
      </c>
      <c r="O14" s="3" t="e">
        <f t="shared" si="4"/>
        <v>#REF!</v>
      </c>
      <c r="P14" s="3" t="e">
        <f t="shared" si="4"/>
        <v>#REF!</v>
      </c>
      <c r="Q14" s="3" t="e">
        <f t="shared" si="4"/>
        <v>#REF!</v>
      </c>
      <c r="R14" s="3" t="e">
        <f t="shared" si="4"/>
        <v>#REF!</v>
      </c>
      <c r="S14" s="3" t="e">
        <f t="shared" si="4"/>
        <v>#REF!</v>
      </c>
      <c r="T14" s="3" t="e">
        <f t="shared" si="4"/>
        <v>#REF!</v>
      </c>
      <c r="U14" s="3" t="e">
        <f t="shared" si="4"/>
        <v>#REF!</v>
      </c>
      <c r="V14" s="3" t="e">
        <f t="shared" si="4"/>
        <v>#REF!</v>
      </c>
      <c r="W14" s="3" t="e">
        <f t="shared" si="4"/>
        <v>#REF!</v>
      </c>
      <c r="X14" s="3" t="e">
        <f t="shared" si="4"/>
        <v>#REF!</v>
      </c>
      <c r="Y14" s="3" t="e">
        <f t="shared" si="4"/>
        <v>#REF!</v>
      </c>
      <c r="Z14" s="3" t="e">
        <f t="shared" si="4"/>
        <v>#REF!</v>
      </c>
      <c r="AA14" s="3" t="e">
        <f t="shared" si="4"/>
        <v>#REF!</v>
      </c>
      <c r="AB14" s="3" t="e">
        <f t="shared" si="4"/>
        <v>#REF!</v>
      </c>
      <c r="AC14" s="3" t="e">
        <f t="shared" si="4"/>
        <v>#REF!</v>
      </c>
      <c r="AD14" s="3" t="e">
        <f t="shared" si="4"/>
        <v>#REF!</v>
      </c>
      <c r="AE14" s="3" t="e">
        <f t="shared" si="4"/>
        <v>#REF!</v>
      </c>
      <c r="AF14" s="3" t="e">
        <f t="shared" si="4"/>
        <v>#REF!</v>
      </c>
      <c r="AG14" s="3" t="e">
        <f t="shared" si="4"/>
        <v>#REF!</v>
      </c>
      <c r="AH14" s="3" t="e">
        <f t="shared" si="4"/>
        <v>#REF!</v>
      </c>
      <c r="AI14" s="3" t="e">
        <f t="shared" si="4"/>
        <v>#REF!</v>
      </c>
      <c r="AJ14" s="3"/>
      <c r="AK14" s="3"/>
      <c r="AL14" s="3"/>
      <c r="AM14" s="3"/>
      <c r="AN14" s="3"/>
      <c r="AO14" s="3"/>
    </row>
    <row r="16" spans="1:46" x14ac:dyDescent="0.25">
      <c r="A16" t="s">
        <v>430</v>
      </c>
      <c r="C16" s="100">
        <v>0.1</v>
      </c>
      <c r="E16" s="117" t="s">
        <v>430</v>
      </c>
      <c r="F16" s="52" t="e">
        <f>F12+F13</f>
        <v>#REF!</v>
      </c>
      <c r="G16" s="52" t="e">
        <f>G12+G13</f>
        <v>#REF!</v>
      </c>
      <c r="H16" s="52" t="e">
        <f t="shared" ref="H16:AI16" si="5">H12+H13</f>
        <v>#REF!</v>
      </c>
      <c r="I16" s="52" t="e">
        <f t="shared" si="5"/>
        <v>#REF!</v>
      </c>
      <c r="J16" s="52" t="e">
        <f t="shared" si="5"/>
        <v>#REF!</v>
      </c>
      <c r="K16" s="52" t="e">
        <f t="shared" si="5"/>
        <v>#REF!</v>
      </c>
      <c r="L16" s="52" t="e">
        <f t="shared" si="5"/>
        <v>#REF!</v>
      </c>
      <c r="M16" s="52" t="e">
        <f t="shared" si="5"/>
        <v>#REF!</v>
      </c>
      <c r="N16" s="52" t="e">
        <f t="shared" si="5"/>
        <v>#REF!</v>
      </c>
      <c r="O16" s="52" t="e">
        <f t="shared" si="5"/>
        <v>#REF!</v>
      </c>
      <c r="P16" s="52" t="e">
        <f t="shared" si="5"/>
        <v>#REF!</v>
      </c>
      <c r="Q16" s="52" t="e">
        <f t="shared" si="5"/>
        <v>#REF!</v>
      </c>
      <c r="R16" s="52" t="e">
        <f t="shared" si="5"/>
        <v>#REF!</v>
      </c>
      <c r="S16" s="52" t="e">
        <f t="shared" si="5"/>
        <v>#REF!</v>
      </c>
      <c r="T16" s="52" t="e">
        <f t="shared" si="5"/>
        <v>#REF!</v>
      </c>
      <c r="U16" s="52" t="e">
        <f t="shared" si="5"/>
        <v>#REF!</v>
      </c>
      <c r="V16" s="52" t="e">
        <f t="shared" si="5"/>
        <v>#REF!</v>
      </c>
      <c r="W16" s="52" t="e">
        <f t="shared" si="5"/>
        <v>#REF!</v>
      </c>
      <c r="X16" s="52" t="e">
        <f t="shared" si="5"/>
        <v>#REF!</v>
      </c>
      <c r="Y16" s="52" t="e">
        <f t="shared" si="5"/>
        <v>#REF!</v>
      </c>
      <c r="Z16" s="52" t="e">
        <f t="shared" si="5"/>
        <v>#REF!</v>
      </c>
      <c r="AA16" s="52" t="e">
        <f t="shared" si="5"/>
        <v>#REF!</v>
      </c>
      <c r="AB16" s="52" t="e">
        <f t="shared" si="5"/>
        <v>#REF!</v>
      </c>
      <c r="AC16" s="52" t="e">
        <f t="shared" si="5"/>
        <v>#REF!</v>
      </c>
      <c r="AD16" s="52" t="e">
        <f t="shared" si="5"/>
        <v>#REF!</v>
      </c>
      <c r="AE16" s="52" t="e">
        <f t="shared" si="5"/>
        <v>#REF!</v>
      </c>
      <c r="AF16" s="52" t="e">
        <f t="shared" si="5"/>
        <v>#REF!</v>
      </c>
      <c r="AG16" s="52" t="e">
        <f t="shared" si="5"/>
        <v>#REF!</v>
      </c>
      <c r="AH16" s="52" t="e">
        <f t="shared" si="5"/>
        <v>#REF!</v>
      </c>
      <c r="AI16" s="52" t="e">
        <f t="shared" si="5"/>
        <v>#REF!</v>
      </c>
    </row>
    <row r="17" spans="5:35" x14ac:dyDescent="0.25">
      <c r="E17" s="117" t="s">
        <v>431</v>
      </c>
      <c r="F17" s="52" t="e">
        <f>F16</f>
        <v>#REF!</v>
      </c>
      <c r="G17" s="52" t="e">
        <f>G16+F17</f>
        <v>#REF!</v>
      </c>
      <c r="H17" s="52" t="e">
        <f t="shared" ref="H17:AI17" si="6">H16+G17</f>
        <v>#REF!</v>
      </c>
      <c r="I17" s="52" t="e">
        <f t="shared" si="6"/>
        <v>#REF!</v>
      </c>
      <c r="J17" s="52" t="e">
        <f t="shared" si="6"/>
        <v>#REF!</v>
      </c>
      <c r="K17" s="52" t="e">
        <f t="shared" si="6"/>
        <v>#REF!</v>
      </c>
      <c r="L17" s="52" t="e">
        <f t="shared" si="6"/>
        <v>#REF!</v>
      </c>
      <c r="M17" s="52" t="e">
        <f t="shared" si="6"/>
        <v>#REF!</v>
      </c>
      <c r="N17" s="52" t="e">
        <f t="shared" si="6"/>
        <v>#REF!</v>
      </c>
      <c r="O17" s="52" t="e">
        <f t="shared" si="6"/>
        <v>#REF!</v>
      </c>
      <c r="P17" s="52" t="e">
        <f t="shared" si="6"/>
        <v>#REF!</v>
      </c>
      <c r="Q17" s="52" t="e">
        <f t="shared" si="6"/>
        <v>#REF!</v>
      </c>
      <c r="R17" s="52" t="e">
        <f t="shared" si="6"/>
        <v>#REF!</v>
      </c>
      <c r="S17" s="52" t="e">
        <f t="shared" si="6"/>
        <v>#REF!</v>
      </c>
      <c r="T17" s="52" t="e">
        <f t="shared" si="6"/>
        <v>#REF!</v>
      </c>
      <c r="U17" s="52" t="e">
        <f t="shared" si="6"/>
        <v>#REF!</v>
      </c>
      <c r="V17" s="52" t="e">
        <f t="shared" si="6"/>
        <v>#REF!</v>
      </c>
      <c r="W17" s="52" t="e">
        <f t="shared" si="6"/>
        <v>#REF!</v>
      </c>
      <c r="X17" s="52" t="e">
        <f t="shared" si="6"/>
        <v>#REF!</v>
      </c>
      <c r="Y17" s="52" t="e">
        <f t="shared" si="6"/>
        <v>#REF!</v>
      </c>
      <c r="Z17" s="52" t="e">
        <f t="shared" si="6"/>
        <v>#REF!</v>
      </c>
      <c r="AA17" s="52" t="e">
        <f t="shared" si="6"/>
        <v>#REF!</v>
      </c>
      <c r="AB17" s="52" t="e">
        <f t="shared" si="6"/>
        <v>#REF!</v>
      </c>
      <c r="AC17" s="52" t="e">
        <f t="shared" si="6"/>
        <v>#REF!</v>
      </c>
      <c r="AD17" s="52" t="e">
        <f t="shared" si="6"/>
        <v>#REF!</v>
      </c>
      <c r="AE17" s="52" t="e">
        <f t="shared" si="6"/>
        <v>#REF!</v>
      </c>
      <c r="AF17" s="52" t="e">
        <f t="shared" si="6"/>
        <v>#REF!</v>
      </c>
      <c r="AG17" s="52" t="e">
        <f t="shared" si="6"/>
        <v>#REF!</v>
      </c>
      <c r="AH17" s="52" t="e">
        <f t="shared" si="6"/>
        <v>#REF!</v>
      </c>
      <c r="AI17" s="52" t="e">
        <f t="shared" si="6"/>
        <v>#REF!</v>
      </c>
    </row>
    <row r="19" spans="5:35" x14ac:dyDescent="0.25">
      <c r="AH19" s="117" t="s">
        <v>433</v>
      </c>
      <c r="AI19" s="3">
        <f>'Development Costs'!F72</f>
        <v>0</v>
      </c>
    </row>
    <row r="20" spans="5:35" x14ac:dyDescent="0.25">
      <c r="AH20" s="117" t="s">
        <v>432</v>
      </c>
      <c r="AI20" s="118">
        <v>0.3</v>
      </c>
    </row>
    <row r="21" spans="5:35" ht="15.75" thickBot="1" x14ac:dyDescent="0.3">
      <c r="AH21" s="117" t="s">
        <v>434</v>
      </c>
      <c r="AI21" s="35">
        <f>AI19*AI20</f>
        <v>0</v>
      </c>
    </row>
    <row r="22" spans="5:35" ht="15.75" thickTop="1" x14ac:dyDescent="0.25"/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03AD5-933B-4BE9-87E5-763FCD00F74D}">
  <sheetPr>
    <tabColor rgb="FFFF0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6B792-92F5-4D12-BA22-DA4644C35A4B}">
  <sheetPr>
    <tabColor rgb="FFFF0000"/>
    <pageSetUpPr fitToPage="1"/>
  </sheetPr>
  <dimension ref="A1:L34"/>
  <sheetViews>
    <sheetView workbookViewId="0">
      <pane xSplit="1" ySplit="5" topLeftCell="B6" activePane="bottomRight" state="frozen"/>
      <selection activeCell="I77" sqref="I77"/>
      <selection pane="topRight" activeCell="I77" sqref="I77"/>
      <selection pane="bottomLeft" activeCell="I77" sqref="I77"/>
      <selection pane="bottomRight" activeCell="C24" sqref="C24"/>
    </sheetView>
  </sheetViews>
  <sheetFormatPr defaultRowHeight="15" x14ac:dyDescent="0.25"/>
  <cols>
    <col min="1" max="1" width="38.42578125" bestFit="1" customWidth="1"/>
    <col min="2" max="2" width="6" style="39" customWidth="1"/>
    <col min="3" max="3" width="14.28515625" style="6" customWidth="1"/>
    <col min="4" max="4" width="4.85546875" style="3" customWidth="1"/>
    <col min="5" max="5" width="10.5703125" style="3" bestFit="1" customWidth="1"/>
    <col min="6" max="6" width="9.140625" style="3"/>
    <col min="7" max="7" width="11.5703125" style="3" bestFit="1" customWidth="1"/>
    <col min="8" max="12" width="9.140625" style="3"/>
  </cols>
  <sheetData>
    <row r="1" spans="1:12" x14ac:dyDescent="0.25">
      <c r="A1" t="s">
        <v>1</v>
      </c>
    </row>
    <row r="2" spans="1:12" x14ac:dyDescent="0.25">
      <c r="A2" t="s">
        <v>2</v>
      </c>
    </row>
    <row r="3" spans="1:12" x14ac:dyDescent="0.25">
      <c r="A3" t="s">
        <v>423</v>
      </c>
    </row>
    <row r="4" spans="1:12" x14ac:dyDescent="0.25">
      <c r="A4" s="45">
        <v>45291</v>
      </c>
      <c r="C4" s="166"/>
    </row>
    <row r="5" spans="1:12" s="1" customFormat="1" ht="12.75" x14ac:dyDescent="0.2">
      <c r="C5" s="2" t="s">
        <v>136</v>
      </c>
      <c r="D5" s="2"/>
      <c r="E5" s="102">
        <v>45413</v>
      </c>
      <c r="F5" s="2"/>
      <c r="G5" s="2"/>
      <c r="H5" s="2"/>
      <c r="I5" s="2"/>
      <c r="J5" s="2"/>
      <c r="K5" s="2"/>
      <c r="L5" s="2"/>
    </row>
    <row r="6" spans="1:12" x14ac:dyDescent="0.25">
      <c r="A6" t="s">
        <v>3</v>
      </c>
    </row>
    <row r="7" spans="1:12" x14ac:dyDescent="0.25">
      <c r="A7" t="s">
        <v>4</v>
      </c>
      <c r="B7" s="44">
        <v>1</v>
      </c>
      <c r="C7" s="6">
        <v>75000</v>
      </c>
    </row>
    <row r="8" spans="1:12" x14ac:dyDescent="0.25">
      <c r="A8" t="s">
        <v>5</v>
      </c>
      <c r="B8" s="44">
        <v>2</v>
      </c>
      <c r="C8" s="6">
        <v>1091120.3</v>
      </c>
    </row>
    <row r="9" spans="1:12" x14ac:dyDescent="0.25">
      <c r="A9" t="s">
        <v>6</v>
      </c>
      <c r="B9" s="44">
        <v>3</v>
      </c>
      <c r="C9" s="6">
        <v>205409</v>
      </c>
    </row>
    <row r="10" spans="1:12" x14ac:dyDescent="0.25">
      <c r="A10" t="s">
        <v>7</v>
      </c>
      <c r="B10" s="44">
        <v>4</v>
      </c>
      <c r="C10" s="6">
        <v>342459</v>
      </c>
    </row>
    <row r="11" spans="1:12" x14ac:dyDescent="0.25">
      <c r="A11" t="s">
        <v>8</v>
      </c>
      <c r="B11" s="44">
        <v>5</v>
      </c>
      <c r="C11" s="6">
        <v>1220915.7</v>
      </c>
    </row>
    <row r="12" spans="1:12" x14ac:dyDescent="0.25">
      <c r="A12" t="s">
        <v>9</v>
      </c>
      <c r="B12" s="44">
        <v>6</v>
      </c>
      <c r="C12" s="6">
        <v>1264046.1499999999</v>
      </c>
    </row>
    <row r="13" spans="1:12" x14ac:dyDescent="0.25">
      <c r="A13" t="s">
        <v>171</v>
      </c>
      <c r="B13" s="44">
        <v>7</v>
      </c>
      <c r="C13" s="6">
        <v>1256406.6599999999</v>
      </c>
    </row>
    <row r="14" spans="1:12" x14ac:dyDescent="0.25">
      <c r="A14" t="s">
        <v>172</v>
      </c>
      <c r="B14" s="44">
        <v>8</v>
      </c>
      <c r="C14" s="6">
        <v>1413037.47</v>
      </c>
    </row>
    <row r="15" spans="1:12" x14ac:dyDescent="0.25">
      <c r="A15" t="s">
        <v>214</v>
      </c>
      <c r="B15" s="44">
        <v>9</v>
      </c>
      <c r="C15" s="6">
        <v>1000000</v>
      </c>
    </row>
    <row r="16" spans="1:12" x14ac:dyDescent="0.25">
      <c r="A16" t="s">
        <v>193</v>
      </c>
      <c r="B16" s="44">
        <v>10</v>
      </c>
      <c r="C16" s="6">
        <v>63653</v>
      </c>
    </row>
    <row r="17" spans="1:5" x14ac:dyDescent="0.25">
      <c r="A17" t="s">
        <v>215</v>
      </c>
      <c r="B17" s="44">
        <v>11</v>
      </c>
      <c r="C17" s="6">
        <v>523548.15999999997</v>
      </c>
    </row>
    <row r="18" spans="1:5" x14ac:dyDescent="0.25">
      <c r="A18" t="s">
        <v>193</v>
      </c>
      <c r="B18" s="44">
        <v>12</v>
      </c>
      <c r="C18" s="6">
        <v>97846</v>
      </c>
    </row>
    <row r="19" spans="1:5" x14ac:dyDescent="0.25">
      <c r="A19" t="s">
        <v>193</v>
      </c>
      <c r="B19" s="44">
        <v>13</v>
      </c>
      <c r="C19" s="6">
        <f>21720+38063</f>
        <v>59783</v>
      </c>
    </row>
    <row r="20" spans="1:5" x14ac:dyDescent="0.25">
      <c r="A20" t="s">
        <v>188</v>
      </c>
      <c r="B20" s="44">
        <v>14</v>
      </c>
      <c r="C20" s="6">
        <v>438191.7</v>
      </c>
    </row>
    <row r="21" spans="1:5" x14ac:dyDescent="0.25">
      <c r="A21" t="s">
        <v>239</v>
      </c>
      <c r="B21" s="44">
        <v>15</v>
      </c>
      <c r="C21" s="6">
        <v>452425.02</v>
      </c>
    </row>
    <row r="22" spans="1:5" x14ac:dyDescent="0.25">
      <c r="A22" t="s">
        <v>238</v>
      </c>
      <c r="B22" s="44">
        <v>16</v>
      </c>
      <c r="C22" s="6">
        <v>175009.7</v>
      </c>
    </row>
    <row r="23" spans="1:5" x14ac:dyDescent="0.25">
      <c r="A23" t="s">
        <v>237</v>
      </c>
      <c r="B23" s="44">
        <v>16</v>
      </c>
      <c r="C23" s="6">
        <v>82903.600000000006</v>
      </c>
    </row>
    <row r="24" spans="1:5" x14ac:dyDescent="0.25">
      <c r="A24" s="37" t="s">
        <v>225</v>
      </c>
      <c r="B24" s="44">
        <v>16</v>
      </c>
      <c r="C24" s="6">
        <v>251048.36</v>
      </c>
      <c r="D24" s="6"/>
    </row>
    <row r="25" spans="1:5" x14ac:dyDescent="0.25">
      <c r="A25" s="37" t="s">
        <v>236</v>
      </c>
      <c r="B25" s="44">
        <v>16</v>
      </c>
      <c r="C25" s="6">
        <v>276627.75</v>
      </c>
      <c r="D25" s="6"/>
    </row>
    <row r="26" spans="1:5" x14ac:dyDescent="0.25">
      <c r="A26" s="37" t="s">
        <v>165</v>
      </c>
      <c r="B26" s="44">
        <v>16</v>
      </c>
      <c r="C26" s="6">
        <v>223131.56</v>
      </c>
      <c r="D26" s="6"/>
    </row>
    <row r="27" spans="1:5" x14ac:dyDescent="0.25">
      <c r="A27" s="37" t="s">
        <v>244</v>
      </c>
      <c r="B27" s="44">
        <v>16</v>
      </c>
      <c r="C27" s="6">
        <v>291279.03000000003</v>
      </c>
      <c r="D27" s="6"/>
    </row>
    <row r="28" spans="1:5" x14ac:dyDescent="0.25">
      <c r="A28" s="37" t="s">
        <v>245</v>
      </c>
      <c r="B28" s="44">
        <v>17</v>
      </c>
      <c r="C28" s="6">
        <v>600000</v>
      </c>
      <c r="D28" s="6"/>
    </row>
    <row r="29" spans="1:5" x14ac:dyDescent="0.25">
      <c r="A29" s="37" t="s">
        <v>246</v>
      </c>
      <c r="B29" s="44">
        <v>18</v>
      </c>
      <c r="C29" s="6">
        <v>500000</v>
      </c>
      <c r="D29" s="6"/>
    </row>
    <row r="30" spans="1:5" x14ac:dyDescent="0.25">
      <c r="A30" s="37" t="s">
        <v>517</v>
      </c>
      <c r="B30" s="44">
        <v>19</v>
      </c>
      <c r="C30" s="6">
        <v>2000000</v>
      </c>
      <c r="D30" s="6"/>
    </row>
    <row r="31" spans="1:5" x14ac:dyDescent="0.25">
      <c r="A31" s="37"/>
      <c r="D31" s="6"/>
      <c r="E31" s="3">
        <v>2750000</v>
      </c>
    </row>
    <row r="32" spans="1:5" x14ac:dyDescent="0.25">
      <c r="A32" s="37"/>
      <c r="B32" s="48"/>
      <c r="D32" s="6"/>
    </row>
    <row r="33" spans="1:7" x14ac:dyDescent="0.25">
      <c r="A33" s="37" t="s">
        <v>231</v>
      </c>
      <c r="B33" s="48"/>
      <c r="C33" s="7">
        <f>SUM(C6:C32)</f>
        <v>13903841.159999996</v>
      </c>
      <c r="D33" s="6"/>
      <c r="E33" s="7">
        <f>SUM(E6:E32)</f>
        <v>2750000</v>
      </c>
      <c r="G33" s="3">
        <f>SUM(C33:F33)</f>
        <v>16653841.159999996</v>
      </c>
    </row>
    <row r="34" spans="1:7" x14ac:dyDescent="0.25">
      <c r="A34" s="37"/>
      <c r="B34" s="48"/>
      <c r="D34" s="6"/>
    </row>
  </sheetData>
  <phoneticPr fontId="9" type="noConversion"/>
  <pageMargins left="0.17" right="0.17" top="0.35" bottom="0.33" header="0.21" footer="0.17"/>
  <pageSetup scale="65" fitToHeight="3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324C-2B25-4F96-A279-EE1290CF1F30}">
  <sheetPr>
    <tabColor rgb="FFFF0000"/>
    <pageSetUpPr fitToPage="1"/>
  </sheetPr>
  <dimension ref="A1:M53"/>
  <sheetViews>
    <sheetView workbookViewId="0">
      <pane xSplit="1" ySplit="3" topLeftCell="B28" activePane="bottomRight" state="frozen"/>
      <selection activeCell="I77" sqref="I77"/>
      <selection pane="topRight" activeCell="I77" sqref="I77"/>
      <selection pane="bottomLeft" activeCell="I77" sqref="I77"/>
      <selection pane="bottomRight" activeCell="C55" sqref="C55"/>
    </sheetView>
  </sheetViews>
  <sheetFormatPr defaultRowHeight="15" x14ac:dyDescent="0.25"/>
  <cols>
    <col min="2" max="2" width="36.5703125" bestFit="1" customWidth="1"/>
    <col min="3" max="3" width="25.28515625" customWidth="1"/>
    <col min="4" max="4" width="17.85546875" customWidth="1"/>
    <col min="5" max="5" width="18.28515625" customWidth="1"/>
    <col min="6" max="6" width="6.42578125" customWidth="1"/>
    <col min="7" max="7" width="8" bestFit="1" customWidth="1"/>
    <col min="8" max="8" width="9.5703125" bestFit="1" customWidth="1"/>
    <col min="9" max="9" width="8.5703125" customWidth="1"/>
    <col min="13" max="13" width="11.5703125" bestFit="1" customWidth="1"/>
  </cols>
  <sheetData>
    <row r="1" spans="1:11" x14ac:dyDescent="0.25">
      <c r="A1" t="s">
        <v>153</v>
      </c>
    </row>
    <row r="3" spans="1:11" s="1" customFormat="1" ht="12.75" x14ac:dyDescent="0.2">
      <c r="B3" s="1" t="s">
        <v>26</v>
      </c>
      <c r="C3" s="1" t="s">
        <v>36</v>
      </c>
      <c r="D3" s="1" t="s">
        <v>56</v>
      </c>
      <c r="E3" s="1" t="s">
        <v>27</v>
      </c>
      <c r="G3" s="33">
        <v>45383</v>
      </c>
      <c r="H3" s="33">
        <v>45413</v>
      </c>
      <c r="I3" s="33">
        <v>45444</v>
      </c>
      <c r="J3" s="33">
        <v>45474</v>
      </c>
      <c r="K3" s="33">
        <v>45505</v>
      </c>
    </row>
    <row r="4" spans="1:11" x14ac:dyDescent="0.25">
      <c r="A4" s="42">
        <v>1</v>
      </c>
      <c r="B4" s="29" t="s">
        <v>12</v>
      </c>
      <c r="C4" s="29" t="s">
        <v>157</v>
      </c>
      <c r="D4" s="167">
        <v>44494</v>
      </c>
      <c r="E4" s="168">
        <v>1007.5</v>
      </c>
      <c r="F4" s="168"/>
    </row>
    <row r="5" spans="1:11" x14ac:dyDescent="0.25">
      <c r="A5" s="42">
        <v>2</v>
      </c>
      <c r="B5" s="29" t="s">
        <v>33</v>
      </c>
      <c r="C5" s="29" t="s">
        <v>151</v>
      </c>
      <c r="D5" s="167">
        <v>44500</v>
      </c>
      <c r="E5" s="168">
        <v>5600</v>
      </c>
      <c r="F5" s="168"/>
    </row>
    <row r="6" spans="1:11" x14ac:dyDescent="0.25">
      <c r="A6" s="42">
        <v>3</v>
      </c>
      <c r="B6" s="29" t="s">
        <v>179</v>
      </c>
      <c r="C6" s="29" t="s">
        <v>180</v>
      </c>
      <c r="D6" s="167">
        <v>44503</v>
      </c>
      <c r="E6" s="168">
        <v>13877.02</v>
      </c>
      <c r="F6" s="168"/>
    </row>
    <row r="7" spans="1:11" x14ac:dyDescent="0.25">
      <c r="A7" s="42">
        <v>4</v>
      </c>
      <c r="B7" s="29" t="s">
        <v>12</v>
      </c>
      <c r="C7" s="29" t="s">
        <v>157</v>
      </c>
      <c r="D7" s="167">
        <v>44517</v>
      </c>
      <c r="E7" s="168">
        <v>387.5</v>
      </c>
      <c r="F7" s="168"/>
    </row>
    <row r="8" spans="1:11" x14ac:dyDescent="0.25">
      <c r="A8" s="42">
        <v>5</v>
      </c>
      <c r="B8" s="29" t="s">
        <v>12</v>
      </c>
      <c r="C8" s="29" t="s">
        <v>157</v>
      </c>
      <c r="D8" s="167">
        <v>44523</v>
      </c>
      <c r="E8" s="168">
        <v>4727.5</v>
      </c>
      <c r="F8" s="168"/>
    </row>
    <row r="9" spans="1:11" x14ac:dyDescent="0.25">
      <c r="A9" s="42">
        <v>6</v>
      </c>
      <c r="B9" s="29" t="s">
        <v>12</v>
      </c>
      <c r="C9" s="29" t="s">
        <v>157</v>
      </c>
      <c r="D9" s="167">
        <v>44530</v>
      </c>
      <c r="E9" s="168">
        <v>5270</v>
      </c>
      <c r="F9" s="168"/>
    </row>
    <row r="10" spans="1:11" x14ac:dyDescent="0.25">
      <c r="A10" s="42">
        <v>7</v>
      </c>
      <c r="B10" s="29" t="s">
        <v>33</v>
      </c>
      <c r="C10" s="29" t="s">
        <v>151</v>
      </c>
      <c r="D10" s="167">
        <v>44530</v>
      </c>
      <c r="E10" s="168">
        <v>1575</v>
      </c>
      <c r="F10" s="168"/>
    </row>
    <row r="11" spans="1:11" x14ac:dyDescent="0.25">
      <c r="A11" s="42">
        <v>8</v>
      </c>
      <c r="B11" s="169" t="s">
        <v>37</v>
      </c>
      <c r="C11" s="29" t="s">
        <v>38</v>
      </c>
      <c r="D11" s="167">
        <v>44544</v>
      </c>
      <c r="E11" s="168">
        <v>3250</v>
      </c>
      <c r="F11" s="168"/>
    </row>
    <row r="12" spans="1:11" x14ac:dyDescent="0.25">
      <c r="A12" s="42">
        <v>9</v>
      </c>
      <c r="B12" s="29" t="s">
        <v>12</v>
      </c>
      <c r="C12" s="29" t="s">
        <v>157</v>
      </c>
      <c r="D12" s="167">
        <v>44559</v>
      </c>
      <c r="E12" s="168">
        <v>3332.5</v>
      </c>
      <c r="F12" s="168"/>
    </row>
    <row r="13" spans="1:11" x14ac:dyDescent="0.25">
      <c r="A13" s="42">
        <v>10</v>
      </c>
      <c r="B13" s="169" t="s">
        <v>37</v>
      </c>
      <c r="C13" s="29" t="s">
        <v>38</v>
      </c>
      <c r="D13" s="167">
        <v>44561</v>
      </c>
      <c r="E13" s="168">
        <v>2850</v>
      </c>
      <c r="F13" s="168"/>
    </row>
    <row r="14" spans="1:11" x14ac:dyDescent="0.25">
      <c r="A14" s="42">
        <v>11</v>
      </c>
      <c r="B14" s="29" t="s">
        <v>12</v>
      </c>
      <c r="C14" s="29" t="s">
        <v>157</v>
      </c>
      <c r="D14" s="167">
        <v>44588</v>
      </c>
      <c r="E14" s="168">
        <v>310</v>
      </c>
      <c r="F14" s="168"/>
    </row>
    <row r="15" spans="1:11" x14ac:dyDescent="0.25">
      <c r="A15" s="42">
        <v>12</v>
      </c>
      <c r="B15" s="29" t="s">
        <v>12</v>
      </c>
      <c r="C15" s="29" t="s">
        <v>157</v>
      </c>
      <c r="D15" s="167">
        <v>44606</v>
      </c>
      <c r="E15" s="168">
        <v>620</v>
      </c>
      <c r="F15" s="168"/>
    </row>
    <row r="16" spans="1:11" x14ac:dyDescent="0.25">
      <c r="A16" s="42">
        <v>13</v>
      </c>
      <c r="B16" s="169" t="s">
        <v>39</v>
      </c>
      <c r="C16" s="29" t="s">
        <v>38</v>
      </c>
      <c r="D16" s="167">
        <v>44620</v>
      </c>
      <c r="E16" s="168">
        <v>1325</v>
      </c>
      <c r="F16" s="168"/>
    </row>
    <row r="17" spans="1:7" x14ac:dyDescent="0.25">
      <c r="A17" s="42">
        <v>14</v>
      </c>
      <c r="B17" s="29" t="s">
        <v>12</v>
      </c>
      <c r="C17" s="29" t="s">
        <v>158</v>
      </c>
      <c r="D17" s="167">
        <v>44642</v>
      </c>
      <c r="E17" s="168">
        <v>1950</v>
      </c>
      <c r="F17" s="168"/>
    </row>
    <row r="18" spans="1:7" x14ac:dyDescent="0.25">
      <c r="A18" s="42">
        <v>15</v>
      </c>
      <c r="B18" s="29" t="s">
        <v>12</v>
      </c>
      <c r="C18" s="29" t="s">
        <v>156</v>
      </c>
      <c r="D18" s="167">
        <v>44643</v>
      </c>
      <c r="E18" s="168">
        <v>1155</v>
      </c>
      <c r="F18" s="168"/>
    </row>
    <row r="19" spans="1:7" x14ac:dyDescent="0.25">
      <c r="A19" s="42">
        <v>16</v>
      </c>
      <c r="B19" s="169" t="s">
        <v>39</v>
      </c>
      <c r="C19" s="29" t="s">
        <v>38</v>
      </c>
      <c r="D19" s="167">
        <v>44662</v>
      </c>
      <c r="E19" s="168">
        <v>3830</v>
      </c>
      <c r="F19" s="168"/>
    </row>
    <row r="20" spans="1:7" x14ac:dyDescent="0.25">
      <c r="A20" s="42">
        <v>17</v>
      </c>
      <c r="B20" s="29" t="s">
        <v>31</v>
      </c>
      <c r="C20" s="29" t="s">
        <v>32</v>
      </c>
      <c r="D20" s="167">
        <v>44662</v>
      </c>
      <c r="E20" s="168">
        <v>27950</v>
      </c>
      <c r="F20" s="168"/>
    </row>
    <row r="21" spans="1:7" x14ac:dyDescent="0.25">
      <c r="A21" s="42">
        <v>18</v>
      </c>
      <c r="B21" s="29" t="s">
        <v>34</v>
      </c>
      <c r="C21" s="29" t="s">
        <v>35</v>
      </c>
      <c r="D21" s="167">
        <v>44663</v>
      </c>
      <c r="E21" s="168">
        <v>21528</v>
      </c>
      <c r="F21" s="168"/>
    </row>
    <row r="22" spans="1:7" x14ac:dyDescent="0.25">
      <c r="A22" s="42">
        <v>19</v>
      </c>
      <c r="B22" s="29" t="s">
        <v>34</v>
      </c>
      <c r="C22" s="29" t="s">
        <v>35</v>
      </c>
      <c r="D22" s="167">
        <v>44700</v>
      </c>
      <c r="E22" s="168">
        <v>40572</v>
      </c>
      <c r="F22" s="168"/>
    </row>
    <row r="23" spans="1:7" x14ac:dyDescent="0.25">
      <c r="A23" s="42">
        <v>20</v>
      </c>
      <c r="B23" s="169" t="s">
        <v>39</v>
      </c>
      <c r="C23" s="29" t="s">
        <v>38</v>
      </c>
      <c r="D23" s="167">
        <v>44712</v>
      </c>
      <c r="E23" s="168">
        <v>636.44000000000005</v>
      </c>
      <c r="F23" s="168"/>
    </row>
    <row r="24" spans="1:7" x14ac:dyDescent="0.25">
      <c r="A24" s="42">
        <v>21</v>
      </c>
      <c r="B24" s="29" t="s">
        <v>34</v>
      </c>
      <c r="C24" s="29" t="s">
        <v>35</v>
      </c>
      <c r="D24" s="167">
        <v>44712</v>
      </c>
      <c r="E24" s="168">
        <v>20700</v>
      </c>
      <c r="F24" s="168"/>
    </row>
    <row r="25" spans="1:7" x14ac:dyDescent="0.25">
      <c r="A25" s="42">
        <v>22</v>
      </c>
      <c r="B25" s="29" t="s">
        <v>39</v>
      </c>
      <c r="C25" s="29" t="s">
        <v>38</v>
      </c>
      <c r="D25" s="167">
        <v>44753</v>
      </c>
      <c r="E25" s="168">
        <v>700</v>
      </c>
      <c r="F25" s="168"/>
    </row>
    <row r="26" spans="1:7" x14ac:dyDescent="0.25">
      <c r="A26" s="42">
        <v>23</v>
      </c>
      <c r="B26" s="169" t="s">
        <v>132</v>
      </c>
      <c r="C26" s="29" t="s">
        <v>133</v>
      </c>
      <c r="D26" s="167">
        <v>44804</v>
      </c>
      <c r="E26" s="168">
        <v>9072</v>
      </c>
      <c r="F26" s="168"/>
    </row>
    <row r="27" spans="1:7" x14ac:dyDescent="0.25">
      <c r="A27" s="42">
        <v>24</v>
      </c>
      <c r="B27" s="169" t="s">
        <v>12</v>
      </c>
      <c r="C27" s="29" t="s">
        <v>156</v>
      </c>
      <c r="D27" s="167">
        <v>44804</v>
      </c>
      <c r="E27" s="168">
        <v>2537.5</v>
      </c>
      <c r="F27" s="168"/>
    </row>
    <row r="28" spans="1:7" x14ac:dyDescent="0.25">
      <c r="A28" s="42">
        <v>25</v>
      </c>
      <c r="B28" s="169" t="s">
        <v>12</v>
      </c>
      <c r="C28" s="29" t="s">
        <v>156</v>
      </c>
      <c r="D28" s="167">
        <v>44838</v>
      </c>
      <c r="E28" s="168">
        <v>2975</v>
      </c>
      <c r="F28" s="168"/>
    </row>
    <row r="29" spans="1:7" x14ac:dyDescent="0.25">
      <c r="A29" s="42">
        <v>26</v>
      </c>
      <c r="B29" s="169" t="s">
        <v>134</v>
      </c>
      <c r="C29" s="29" t="s">
        <v>135</v>
      </c>
      <c r="D29" s="167">
        <v>44865</v>
      </c>
      <c r="E29" s="168">
        <v>7366.88</v>
      </c>
      <c r="F29" s="168"/>
      <c r="G29" s="3"/>
    </row>
    <row r="30" spans="1:7" x14ac:dyDescent="0.25">
      <c r="A30" s="42">
        <v>27</v>
      </c>
      <c r="B30" s="169" t="s">
        <v>134</v>
      </c>
      <c r="C30" s="29" t="s">
        <v>135</v>
      </c>
      <c r="D30" s="167">
        <v>44895</v>
      </c>
      <c r="E30" s="168">
        <v>8297.5</v>
      </c>
      <c r="F30" s="168"/>
      <c r="G30" s="3"/>
    </row>
    <row r="31" spans="1:7" x14ac:dyDescent="0.25">
      <c r="A31" s="42">
        <v>28</v>
      </c>
      <c r="B31" s="169" t="s">
        <v>132</v>
      </c>
      <c r="C31" s="29" t="s">
        <v>133</v>
      </c>
      <c r="D31" s="167">
        <v>44895</v>
      </c>
      <c r="E31" s="168">
        <v>6825</v>
      </c>
      <c r="F31" s="168"/>
      <c r="G31" s="3"/>
    </row>
    <row r="32" spans="1:7" x14ac:dyDescent="0.25">
      <c r="A32" s="42">
        <v>29</v>
      </c>
      <c r="B32" s="169" t="s">
        <v>174</v>
      </c>
      <c r="C32" s="29" t="s">
        <v>173</v>
      </c>
      <c r="D32" s="167">
        <v>44895</v>
      </c>
      <c r="E32" s="168">
        <v>58</v>
      </c>
      <c r="F32" s="168"/>
      <c r="G32" s="3"/>
    </row>
    <row r="33" spans="1:7" x14ac:dyDescent="0.25">
      <c r="A33" s="42">
        <v>30</v>
      </c>
      <c r="B33" s="169" t="s">
        <v>134</v>
      </c>
      <c r="C33" s="29" t="s">
        <v>135</v>
      </c>
      <c r="D33" s="8">
        <v>44926</v>
      </c>
      <c r="E33" s="168">
        <v>2990</v>
      </c>
      <c r="F33" s="15"/>
      <c r="G33" s="3"/>
    </row>
    <row r="34" spans="1:7" x14ac:dyDescent="0.25">
      <c r="A34" s="42">
        <v>31</v>
      </c>
      <c r="B34" s="169" t="s">
        <v>12</v>
      </c>
      <c r="C34" s="29" t="s">
        <v>156</v>
      </c>
      <c r="D34" s="8">
        <v>44934</v>
      </c>
      <c r="E34" s="168">
        <v>1750</v>
      </c>
      <c r="F34" s="15"/>
      <c r="G34" s="3"/>
    </row>
    <row r="35" spans="1:7" x14ac:dyDescent="0.25">
      <c r="A35" s="42">
        <v>32</v>
      </c>
      <c r="B35" s="169" t="s">
        <v>12</v>
      </c>
      <c r="C35" s="29" t="s">
        <v>175</v>
      </c>
      <c r="D35" s="8">
        <v>44957</v>
      </c>
      <c r="E35" s="168">
        <v>2800</v>
      </c>
      <c r="F35" s="15"/>
      <c r="G35" s="3"/>
    </row>
    <row r="36" spans="1:7" x14ac:dyDescent="0.25">
      <c r="A36" s="42">
        <v>33</v>
      </c>
      <c r="B36" s="169" t="s">
        <v>134</v>
      </c>
      <c r="C36" s="29" t="s">
        <v>135</v>
      </c>
      <c r="D36" s="8">
        <v>44957</v>
      </c>
      <c r="E36" s="168">
        <v>21636.25</v>
      </c>
      <c r="F36" s="15"/>
      <c r="G36" s="3"/>
    </row>
    <row r="37" spans="1:7" x14ac:dyDescent="0.25">
      <c r="A37" s="42">
        <v>34</v>
      </c>
      <c r="B37" s="169" t="s">
        <v>134</v>
      </c>
      <c r="C37" s="29" t="s">
        <v>135</v>
      </c>
      <c r="D37" s="8">
        <v>44985</v>
      </c>
      <c r="E37" s="168">
        <v>6783.5</v>
      </c>
      <c r="F37" s="15"/>
      <c r="G37" s="3"/>
    </row>
    <row r="38" spans="1:7" x14ac:dyDescent="0.25">
      <c r="A38" s="42">
        <v>35</v>
      </c>
      <c r="B38" s="169" t="s">
        <v>12</v>
      </c>
      <c r="C38" s="29" t="s">
        <v>190</v>
      </c>
      <c r="D38" s="8">
        <v>45026</v>
      </c>
      <c r="E38" s="168">
        <v>1575</v>
      </c>
      <c r="F38" s="15"/>
      <c r="G38" s="3"/>
    </row>
    <row r="39" spans="1:7" x14ac:dyDescent="0.25">
      <c r="A39" s="42">
        <v>36</v>
      </c>
      <c r="B39" s="169" t="s">
        <v>211</v>
      </c>
      <c r="C39" s="29" t="s">
        <v>167</v>
      </c>
      <c r="D39" s="8">
        <v>44902</v>
      </c>
      <c r="E39" s="168">
        <v>9670.69</v>
      </c>
      <c r="F39" s="15"/>
      <c r="G39" s="3"/>
    </row>
    <row r="40" spans="1:7" x14ac:dyDescent="0.25">
      <c r="A40" s="42">
        <v>37</v>
      </c>
      <c r="B40" s="169" t="s">
        <v>211</v>
      </c>
      <c r="C40" s="29" t="s">
        <v>167</v>
      </c>
      <c r="D40" s="8">
        <v>44973</v>
      </c>
      <c r="E40" s="168">
        <v>656.89</v>
      </c>
      <c r="F40" s="15"/>
      <c r="G40" s="3"/>
    </row>
    <row r="41" spans="1:7" x14ac:dyDescent="0.25">
      <c r="A41" s="42">
        <v>38</v>
      </c>
      <c r="B41" s="169" t="s">
        <v>39</v>
      </c>
      <c r="C41" s="29" t="s">
        <v>213</v>
      </c>
      <c r="D41" s="8">
        <v>45077</v>
      </c>
      <c r="E41" s="168">
        <v>2450</v>
      </c>
      <c r="F41" s="15"/>
      <c r="G41" s="3"/>
    </row>
    <row r="42" spans="1:7" x14ac:dyDescent="0.25">
      <c r="A42" s="42">
        <v>39</v>
      </c>
      <c r="B42" s="169" t="s">
        <v>12</v>
      </c>
      <c r="C42" s="29" t="s">
        <v>156</v>
      </c>
      <c r="D42" s="8">
        <v>45086</v>
      </c>
      <c r="E42" s="168">
        <v>175</v>
      </c>
      <c r="F42" s="15"/>
      <c r="G42" s="3"/>
    </row>
    <row r="43" spans="1:7" x14ac:dyDescent="0.25">
      <c r="A43" s="42">
        <v>40</v>
      </c>
      <c r="B43" s="169" t="s">
        <v>210</v>
      </c>
      <c r="C43" s="29" t="s">
        <v>209</v>
      </c>
      <c r="D43" s="8">
        <v>45086</v>
      </c>
      <c r="E43" s="168">
        <v>1600</v>
      </c>
      <c r="F43" s="15"/>
      <c r="G43" s="3"/>
    </row>
    <row r="44" spans="1:7" x14ac:dyDescent="0.25">
      <c r="A44" s="42">
        <v>41</v>
      </c>
      <c r="B44" s="169" t="s">
        <v>14</v>
      </c>
      <c r="C44" s="29" t="s">
        <v>212</v>
      </c>
      <c r="D44" s="8">
        <v>45086</v>
      </c>
      <c r="E44" s="168">
        <v>3400</v>
      </c>
      <c r="F44" s="15"/>
      <c r="G44" s="3"/>
    </row>
    <row r="45" spans="1:7" x14ac:dyDescent="0.25">
      <c r="A45" s="42">
        <v>42</v>
      </c>
      <c r="B45" s="169" t="s">
        <v>12</v>
      </c>
      <c r="C45" s="29" t="s">
        <v>156</v>
      </c>
      <c r="D45" s="8">
        <v>45140</v>
      </c>
      <c r="E45" s="168">
        <v>1137.5</v>
      </c>
      <c r="F45" s="15"/>
      <c r="G45" s="3"/>
    </row>
    <row r="46" spans="1:7" x14ac:dyDescent="0.25">
      <c r="A46" s="42">
        <v>44</v>
      </c>
      <c r="B46" s="169" t="s">
        <v>12</v>
      </c>
      <c r="C46" s="29" t="s">
        <v>156</v>
      </c>
      <c r="D46" s="8">
        <v>45273</v>
      </c>
      <c r="E46" s="168">
        <v>1050</v>
      </c>
      <c r="F46" s="15"/>
      <c r="G46" s="3"/>
    </row>
    <row r="47" spans="1:7" x14ac:dyDescent="0.25">
      <c r="B47" s="169"/>
      <c r="C47" s="169"/>
      <c r="D47" s="8"/>
      <c r="E47" s="168"/>
      <c r="F47" s="15"/>
      <c r="G47" s="3"/>
    </row>
    <row r="48" spans="1:7" x14ac:dyDescent="0.25">
      <c r="B48" s="169" t="s">
        <v>12</v>
      </c>
      <c r="C48" s="169" t="s">
        <v>443</v>
      </c>
      <c r="D48" s="8"/>
      <c r="E48" s="168"/>
      <c r="F48" s="15"/>
      <c r="G48" s="3"/>
    </row>
    <row r="49" spans="2:13" x14ac:dyDescent="0.25">
      <c r="B49" s="169" t="s">
        <v>134</v>
      </c>
      <c r="C49" s="169" t="s">
        <v>135</v>
      </c>
      <c r="D49" s="8"/>
      <c r="E49" s="168"/>
      <c r="F49" s="15"/>
      <c r="G49" s="3"/>
      <c r="H49" s="3"/>
    </row>
    <row r="50" spans="2:13" x14ac:dyDescent="0.25">
      <c r="B50" s="169"/>
      <c r="E50" s="15"/>
      <c r="F50" s="15"/>
      <c r="G50" s="3"/>
      <c r="H50" s="3"/>
    </row>
    <row r="51" spans="2:13" ht="15.75" thickBot="1" x14ac:dyDescent="0.3">
      <c r="E51" s="16">
        <f>SUM(E4:E50)</f>
        <v>257960.17000000004</v>
      </c>
      <c r="F51" s="15"/>
      <c r="G51" s="35">
        <f>SUM(G4:G50)</f>
        <v>0</v>
      </c>
      <c r="H51" s="35">
        <f>SUM(H4:H50)</f>
        <v>0</v>
      </c>
      <c r="I51" s="35">
        <f>SUM(I4:I50)</f>
        <v>0</v>
      </c>
      <c r="J51" s="35">
        <f>SUM(J4:J50)</f>
        <v>0</v>
      </c>
      <c r="K51" s="35">
        <f>SUM(K4:K50)</f>
        <v>0</v>
      </c>
      <c r="M51" s="25">
        <f>SUM(E51:L51)</f>
        <v>257960.17000000004</v>
      </c>
    </row>
    <row r="52" spans="2:13" ht="15.75" thickTop="1" x14ac:dyDescent="0.25">
      <c r="E52" s="15"/>
      <c r="F52" s="15"/>
      <c r="G52" s="3"/>
    </row>
    <row r="53" spans="2:13" x14ac:dyDescent="0.25">
      <c r="D53" t="s">
        <v>543</v>
      </c>
    </row>
  </sheetData>
  <autoFilter ref="A3:H49" xr:uid="{AC09324C-2B25-4F96-A279-EE1290CF1F30}"/>
  <sortState xmlns:xlrd2="http://schemas.microsoft.com/office/spreadsheetml/2017/richdata2" ref="B4:E31">
    <sortCondition ref="D4:D31"/>
    <sortCondition ref="B4:B31"/>
  </sortState>
  <pageMargins left="0.7" right="0.7" top="0.75" bottom="0.75" header="0.3" footer="0.3"/>
  <pageSetup scale="77" fitToHeight="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A15AD-79F8-4D97-9884-688074881A90}">
  <sheetPr>
    <tabColor rgb="FFFF0000"/>
  </sheetPr>
  <dimension ref="A1:L25"/>
  <sheetViews>
    <sheetView workbookViewId="0">
      <selection activeCell="A23" sqref="A23"/>
    </sheetView>
  </sheetViews>
  <sheetFormatPr defaultRowHeight="15" x14ac:dyDescent="0.25"/>
  <cols>
    <col min="2" max="2" width="19.42578125" bestFit="1" customWidth="1"/>
    <col min="3" max="3" width="19.42578125" style="8" customWidth="1"/>
    <col min="4" max="4" width="15.42578125" customWidth="1"/>
    <col min="5" max="5" width="6" customWidth="1"/>
  </cols>
  <sheetData>
    <row r="1" spans="1:10" x14ac:dyDescent="0.25">
      <c r="A1" t="s">
        <v>148</v>
      </c>
    </row>
    <row r="3" spans="1:10" s="1" customFormat="1" ht="12.75" x14ac:dyDescent="0.2">
      <c r="B3" s="1" t="s">
        <v>26</v>
      </c>
      <c r="C3" s="21" t="s">
        <v>56</v>
      </c>
      <c r="D3" s="1" t="s">
        <v>27</v>
      </c>
      <c r="F3" s="33">
        <v>45383</v>
      </c>
      <c r="G3" s="33">
        <v>45413</v>
      </c>
      <c r="H3" s="33">
        <v>45444</v>
      </c>
      <c r="I3" s="33">
        <v>45474</v>
      </c>
      <c r="J3" s="33">
        <v>45505</v>
      </c>
    </row>
    <row r="4" spans="1:10" ht="15.75" x14ac:dyDescent="0.25">
      <c r="A4" s="42">
        <v>1</v>
      </c>
      <c r="B4" s="11" t="s">
        <v>40</v>
      </c>
      <c r="C4" s="22">
        <v>44592</v>
      </c>
      <c r="D4" s="13">
        <v>13257</v>
      </c>
    </row>
    <row r="5" spans="1:10" ht="15.75" x14ac:dyDescent="0.25">
      <c r="A5" s="42">
        <v>2</v>
      </c>
      <c r="B5" s="11" t="s">
        <v>40</v>
      </c>
      <c r="C5" s="22">
        <v>44651</v>
      </c>
      <c r="D5" s="13">
        <v>2182</v>
      </c>
    </row>
    <row r="6" spans="1:10" ht="15.75" x14ac:dyDescent="0.25">
      <c r="A6" s="42">
        <v>3</v>
      </c>
      <c r="B6" s="11" t="s">
        <v>40</v>
      </c>
      <c r="C6" s="22">
        <v>44763</v>
      </c>
      <c r="D6" s="13">
        <v>1204</v>
      </c>
    </row>
    <row r="7" spans="1:10" ht="15.75" x14ac:dyDescent="0.25">
      <c r="A7" s="42">
        <v>4</v>
      </c>
      <c r="B7" s="11" t="s">
        <v>40</v>
      </c>
      <c r="C7" s="22">
        <v>44773</v>
      </c>
      <c r="D7" s="13">
        <v>1462</v>
      </c>
    </row>
    <row r="8" spans="1:10" ht="15.75" x14ac:dyDescent="0.25">
      <c r="A8" s="42">
        <v>5</v>
      </c>
      <c r="B8" s="11" t="s">
        <v>40</v>
      </c>
      <c r="C8" s="22">
        <v>44804</v>
      </c>
      <c r="D8" s="13">
        <v>817</v>
      </c>
    </row>
    <row r="9" spans="1:10" ht="15.75" x14ac:dyDescent="0.25">
      <c r="A9" s="42">
        <v>6</v>
      </c>
      <c r="B9" s="11" t="s">
        <v>40</v>
      </c>
      <c r="C9" s="8">
        <v>44851</v>
      </c>
      <c r="D9" s="13">
        <v>1978</v>
      </c>
    </row>
    <row r="10" spans="1:10" ht="15.75" x14ac:dyDescent="0.25">
      <c r="A10" s="42">
        <v>7</v>
      </c>
      <c r="B10" s="11" t="s">
        <v>40</v>
      </c>
      <c r="C10" s="8">
        <v>44895</v>
      </c>
      <c r="D10" s="13">
        <v>4904.5</v>
      </c>
    </row>
    <row r="11" spans="1:10" ht="15.75" x14ac:dyDescent="0.25">
      <c r="A11" s="42">
        <v>8</v>
      </c>
      <c r="B11" s="11" t="s">
        <v>161</v>
      </c>
      <c r="C11" s="8">
        <v>44895</v>
      </c>
      <c r="D11" s="13">
        <v>9566</v>
      </c>
    </row>
    <row r="12" spans="1:10" ht="15.75" x14ac:dyDescent="0.25">
      <c r="A12" s="42">
        <v>9</v>
      </c>
      <c r="B12" s="11" t="s">
        <v>161</v>
      </c>
      <c r="C12" s="8">
        <v>44925</v>
      </c>
      <c r="D12" s="13">
        <v>770</v>
      </c>
    </row>
    <row r="13" spans="1:10" ht="15.75" x14ac:dyDescent="0.25">
      <c r="A13" s="42">
        <v>10</v>
      </c>
      <c r="B13" s="11" t="s">
        <v>40</v>
      </c>
      <c r="C13" s="8">
        <v>44926</v>
      </c>
      <c r="D13" s="13">
        <v>2289</v>
      </c>
    </row>
    <row r="14" spans="1:10" ht="15.75" x14ac:dyDescent="0.25">
      <c r="A14" s="42">
        <v>11</v>
      </c>
      <c r="B14" s="11" t="s">
        <v>185</v>
      </c>
      <c r="C14" s="8">
        <v>44937</v>
      </c>
      <c r="D14" s="13">
        <v>2000</v>
      </c>
    </row>
    <row r="15" spans="1:10" ht="15.75" x14ac:dyDescent="0.25">
      <c r="A15" s="42">
        <v>12</v>
      </c>
      <c r="B15" s="11" t="s">
        <v>40</v>
      </c>
      <c r="C15" s="8">
        <v>44957</v>
      </c>
      <c r="D15" s="13">
        <v>4976.5</v>
      </c>
    </row>
    <row r="16" spans="1:10" ht="15.75" x14ac:dyDescent="0.25">
      <c r="A16" s="42">
        <v>13</v>
      </c>
      <c r="B16" s="11" t="s">
        <v>185</v>
      </c>
      <c r="C16" s="8">
        <v>44964</v>
      </c>
      <c r="D16" s="13">
        <v>1420</v>
      </c>
    </row>
    <row r="17" spans="1:12" ht="15.75" x14ac:dyDescent="0.25">
      <c r="A17" s="42">
        <v>14</v>
      </c>
      <c r="B17" s="11" t="s">
        <v>40</v>
      </c>
      <c r="C17" s="8">
        <v>44985</v>
      </c>
      <c r="D17" s="13">
        <v>2687.5</v>
      </c>
    </row>
    <row r="18" spans="1:12" ht="15.75" x14ac:dyDescent="0.25">
      <c r="A18" s="42">
        <v>15</v>
      </c>
      <c r="B18" s="11" t="s">
        <v>40</v>
      </c>
      <c r="C18" s="8">
        <v>45016</v>
      </c>
      <c r="D18" s="13">
        <v>4237</v>
      </c>
    </row>
    <row r="19" spans="1:12" ht="15.75" x14ac:dyDescent="0.25">
      <c r="A19" s="42">
        <v>16</v>
      </c>
      <c r="B19" s="11" t="s">
        <v>216</v>
      </c>
      <c r="C19" s="8">
        <v>45086</v>
      </c>
      <c r="D19" s="13">
        <v>6366.07</v>
      </c>
    </row>
    <row r="20" spans="1:12" ht="15.75" x14ac:dyDescent="0.25">
      <c r="A20" s="42">
        <v>17</v>
      </c>
      <c r="B20" s="11" t="s">
        <v>40</v>
      </c>
      <c r="C20" s="8">
        <v>45113</v>
      </c>
      <c r="D20" s="13">
        <v>3825</v>
      </c>
    </row>
    <row r="21" spans="1:12" ht="15.75" x14ac:dyDescent="0.25">
      <c r="A21" s="42">
        <v>18</v>
      </c>
      <c r="B21" s="11" t="s">
        <v>216</v>
      </c>
      <c r="C21" s="8">
        <v>45350</v>
      </c>
      <c r="D21" s="13">
        <v>18162.650000000001</v>
      </c>
    </row>
    <row r="22" spans="1:12" ht="15.75" x14ac:dyDescent="0.25">
      <c r="A22" s="42">
        <v>19</v>
      </c>
      <c r="B22" s="11" t="s">
        <v>216</v>
      </c>
      <c r="C22" s="8">
        <v>45380</v>
      </c>
      <c r="D22" s="13">
        <v>14274.05</v>
      </c>
      <c r="F22" s="3"/>
      <c r="G22" s="3"/>
    </row>
    <row r="23" spans="1:12" ht="15.75" x14ac:dyDescent="0.25">
      <c r="B23" s="11"/>
      <c r="D23" s="13"/>
      <c r="F23" s="3"/>
      <c r="G23" s="3"/>
    </row>
    <row r="24" spans="1:12" x14ac:dyDescent="0.25">
      <c r="F24" s="3"/>
      <c r="G24" s="3"/>
    </row>
    <row r="25" spans="1:12" ht="15.75" x14ac:dyDescent="0.25">
      <c r="B25" s="11" t="s">
        <v>137</v>
      </c>
      <c r="D25" s="23">
        <f>SUM(D4:D24)</f>
        <v>96378.27</v>
      </c>
      <c r="F25" s="4">
        <f t="shared" ref="F25:J25" si="0">SUM(F4:F24)</f>
        <v>0</v>
      </c>
      <c r="G25" s="4">
        <f t="shared" si="0"/>
        <v>0</v>
      </c>
      <c r="H25" s="4">
        <f t="shared" si="0"/>
        <v>0</v>
      </c>
      <c r="I25" s="4">
        <f t="shared" si="0"/>
        <v>0</v>
      </c>
      <c r="J25" s="4">
        <f t="shared" si="0"/>
        <v>0</v>
      </c>
      <c r="L25" s="24">
        <f>SUM(D25:K25)</f>
        <v>96378.27</v>
      </c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2CB4B-81F3-4183-B76E-CADEC2B133DA}">
  <sheetPr>
    <tabColor rgb="FFFF0000"/>
  </sheetPr>
  <dimension ref="A1:F8"/>
  <sheetViews>
    <sheetView workbookViewId="0">
      <selection activeCell="I77" sqref="I77"/>
    </sheetView>
  </sheetViews>
  <sheetFormatPr defaultRowHeight="15" x14ac:dyDescent="0.25"/>
  <cols>
    <col min="2" max="2" width="16" customWidth="1"/>
    <col min="3" max="3" width="11" customWidth="1"/>
  </cols>
  <sheetData>
    <row r="1" spans="1:6" x14ac:dyDescent="0.25">
      <c r="A1" t="s">
        <v>42</v>
      </c>
    </row>
    <row r="3" spans="1:6" s="1" customFormat="1" ht="12.75" x14ac:dyDescent="0.2">
      <c r="C3" s="1" t="s">
        <v>163</v>
      </c>
      <c r="D3" s="33" t="s">
        <v>176</v>
      </c>
    </row>
    <row r="4" spans="1:6" x14ac:dyDescent="0.25">
      <c r="A4" s="41">
        <v>1</v>
      </c>
      <c r="B4" s="29" t="s">
        <v>41</v>
      </c>
      <c r="C4" s="30">
        <v>7500</v>
      </c>
      <c r="D4" s="30">
        <v>7500</v>
      </c>
    </row>
    <row r="5" spans="1:6" x14ac:dyDescent="0.25">
      <c r="C5" s="30"/>
      <c r="D5" s="30"/>
    </row>
    <row r="7" spans="1:6" ht="15.75" thickBot="1" x14ac:dyDescent="0.3">
      <c r="C7" s="14">
        <f>SUM(C4:C6)</f>
        <v>7500</v>
      </c>
      <c r="D7" s="14">
        <f>SUM(D4:D6)</f>
        <v>7500</v>
      </c>
      <c r="F7" s="24">
        <f>SUM(C7:E7)</f>
        <v>15000</v>
      </c>
    </row>
    <row r="8" spans="1:6" ht="15.75" thickTop="1" x14ac:dyDescent="0.25"/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8867B-B03F-4B4B-AC2D-DFEB711EB0CA}">
  <sheetPr>
    <tabColor rgb="FFFF0000"/>
  </sheetPr>
  <dimension ref="A1:J15"/>
  <sheetViews>
    <sheetView workbookViewId="0">
      <selection activeCell="D9" sqref="D9"/>
    </sheetView>
  </sheetViews>
  <sheetFormatPr defaultRowHeight="15" x14ac:dyDescent="0.25"/>
  <cols>
    <col min="2" max="2" width="16.7109375" bestFit="1" customWidth="1"/>
    <col min="3" max="3" width="15.5703125" bestFit="1" customWidth="1"/>
    <col min="4" max="4" width="11.5703125" style="15" bestFit="1" customWidth="1"/>
    <col min="5" max="5" width="6.42578125" customWidth="1"/>
    <col min="8" max="8" width="11.5703125" bestFit="1" customWidth="1"/>
    <col min="10" max="10" width="11.5703125" bestFit="1" customWidth="1"/>
  </cols>
  <sheetData>
    <row r="1" spans="1:10" x14ac:dyDescent="0.25">
      <c r="A1" t="s">
        <v>43</v>
      </c>
    </row>
    <row r="3" spans="1:10" s="1" customFormat="1" ht="12.75" x14ac:dyDescent="0.2">
      <c r="B3" s="1" t="s">
        <v>26</v>
      </c>
      <c r="C3" s="1" t="s">
        <v>36</v>
      </c>
      <c r="D3" s="9" t="s">
        <v>27</v>
      </c>
      <c r="F3" s="33">
        <v>45108</v>
      </c>
      <c r="G3" s="33">
        <v>45139</v>
      </c>
      <c r="H3" s="33">
        <v>45170</v>
      </c>
    </row>
    <row r="4" spans="1:10" x14ac:dyDescent="0.25">
      <c r="A4" s="42">
        <v>1</v>
      </c>
      <c r="B4" t="s">
        <v>45</v>
      </c>
      <c r="C4" t="s">
        <v>44</v>
      </c>
      <c r="D4" s="15">
        <v>220592</v>
      </c>
      <c r="F4" s="15"/>
      <c r="G4" s="15"/>
      <c r="H4" s="15"/>
    </row>
    <row r="5" spans="1:10" x14ac:dyDescent="0.25">
      <c r="A5" s="42">
        <v>1</v>
      </c>
      <c r="B5" t="s">
        <v>45</v>
      </c>
      <c r="C5" t="s">
        <v>46</v>
      </c>
      <c r="D5" s="15">
        <v>69263.12</v>
      </c>
      <c r="F5" s="15"/>
      <c r="G5" s="15"/>
      <c r="H5" s="15"/>
    </row>
    <row r="6" spans="1:10" x14ac:dyDescent="0.25">
      <c r="A6" s="42">
        <v>1</v>
      </c>
      <c r="B6" t="s">
        <v>45</v>
      </c>
      <c r="C6" t="s">
        <v>47</v>
      </c>
      <c r="D6" s="15">
        <v>49452.63</v>
      </c>
      <c r="F6" s="15"/>
      <c r="G6" s="15"/>
      <c r="H6" s="15"/>
    </row>
    <row r="7" spans="1:10" x14ac:dyDescent="0.25">
      <c r="A7" s="42">
        <v>2</v>
      </c>
      <c r="B7" t="s">
        <v>50</v>
      </c>
      <c r="C7" t="s">
        <v>48</v>
      </c>
      <c r="D7" s="15">
        <v>2198</v>
      </c>
      <c r="F7" s="15"/>
      <c r="G7" s="15"/>
      <c r="H7" s="15"/>
    </row>
    <row r="8" spans="1:10" x14ac:dyDescent="0.25">
      <c r="A8" s="42">
        <v>3</v>
      </c>
      <c r="B8" t="s">
        <v>187</v>
      </c>
      <c r="C8" t="s">
        <v>49</v>
      </c>
      <c r="D8" s="15">
        <v>2106</v>
      </c>
      <c r="F8" s="15"/>
      <c r="G8" s="15"/>
      <c r="H8" s="15"/>
    </row>
    <row r="9" spans="1:10" x14ac:dyDescent="0.25">
      <c r="A9" s="42">
        <v>4</v>
      </c>
      <c r="B9" t="s">
        <v>45</v>
      </c>
      <c r="C9" t="s">
        <v>44</v>
      </c>
      <c r="D9" s="15">
        <v>299374</v>
      </c>
      <c r="F9" s="15"/>
      <c r="G9" s="15"/>
      <c r="H9" s="15"/>
    </row>
    <row r="10" spans="1:10" x14ac:dyDescent="0.25">
      <c r="A10" s="42">
        <v>5</v>
      </c>
      <c r="B10" t="s">
        <v>50</v>
      </c>
      <c r="C10" t="s">
        <v>48</v>
      </c>
      <c r="D10" s="15">
        <v>1580</v>
      </c>
      <c r="F10" s="15"/>
      <c r="G10" s="15"/>
      <c r="H10" s="15"/>
    </row>
    <row r="11" spans="1:10" x14ac:dyDescent="0.25">
      <c r="F11" s="15"/>
      <c r="G11" s="15"/>
      <c r="H11" s="15"/>
    </row>
    <row r="12" spans="1:10" ht="15.75" thickBot="1" x14ac:dyDescent="0.3">
      <c r="D12" s="16">
        <f>SUM(D4:D11)</f>
        <v>644565.75</v>
      </c>
      <c r="F12" s="16">
        <f t="shared" ref="F12:H12" si="0">SUM(F4:F11)</f>
        <v>0</v>
      </c>
      <c r="G12" s="16">
        <f t="shared" si="0"/>
        <v>0</v>
      </c>
      <c r="H12" s="16">
        <f t="shared" si="0"/>
        <v>0</v>
      </c>
      <c r="J12" s="25">
        <f>SUM(D12:I12)</f>
        <v>644565.75</v>
      </c>
    </row>
    <row r="13" spans="1:10" ht="15.75" thickTop="1" x14ac:dyDescent="0.25"/>
    <row r="15" spans="1:10" x14ac:dyDescent="0.25">
      <c r="B15" t="s">
        <v>233</v>
      </c>
    </row>
  </sheetData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C6F0-995E-400B-8F91-A0BFE553AA07}">
  <sheetPr>
    <tabColor rgb="FFFF0000"/>
  </sheetPr>
  <dimension ref="A1:N20"/>
  <sheetViews>
    <sheetView workbookViewId="0">
      <selection activeCell="J14" sqref="J14"/>
    </sheetView>
  </sheetViews>
  <sheetFormatPr defaultRowHeight="15" x14ac:dyDescent="0.25"/>
  <cols>
    <col min="2" max="2" width="24.5703125" customWidth="1"/>
    <col min="3" max="3" width="18.5703125" customWidth="1"/>
    <col min="4" max="4" width="15.85546875" style="8" customWidth="1"/>
    <col min="5" max="5" width="10.5703125" style="15" bestFit="1" customWidth="1"/>
    <col min="6" max="6" width="5" customWidth="1"/>
    <col min="7" max="7" width="9.28515625" bestFit="1" customWidth="1"/>
    <col min="8" max="8" width="11.5703125" bestFit="1" customWidth="1"/>
    <col min="9" max="9" width="9.28515625" bestFit="1" customWidth="1"/>
    <col min="10" max="10" width="11.5703125" bestFit="1" customWidth="1"/>
    <col min="11" max="11" width="9.28515625" bestFit="1" customWidth="1"/>
    <col min="13" max="13" width="10.5703125" bestFit="1" customWidth="1"/>
  </cols>
  <sheetData>
    <row r="1" spans="1:14" x14ac:dyDescent="0.25">
      <c r="A1" t="s">
        <v>51</v>
      </c>
    </row>
    <row r="4" spans="1:14" s="1" customFormat="1" ht="12.75" x14ac:dyDescent="0.2">
      <c r="B4" s="1" t="s">
        <v>26</v>
      </c>
      <c r="C4" s="1" t="s">
        <v>36</v>
      </c>
      <c r="D4" s="21" t="s">
        <v>56</v>
      </c>
      <c r="E4" s="9" t="s">
        <v>27</v>
      </c>
      <c r="F4" s="33"/>
      <c r="G4" s="33">
        <v>45383</v>
      </c>
      <c r="H4" s="33">
        <v>45413</v>
      </c>
      <c r="I4" s="33">
        <v>45444</v>
      </c>
      <c r="J4" s="33">
        <v>45474</v>
      </c>
      <c r="K4" s="33">
        <v>45505</v>
      </c>
    </row>
    <row r="5" spans="1:14" x14ac:dyDescent="0.25">
      <c r="A5" s="42">
        <v>1</v>
      </c>
      <c r="B5" t="s">
        <v>52</v>
      </c>
      <c r="C5" t="s">
        <v>53</v>
      </c>
      <c r="D5" s="8">
        <v>44508</v>
      </c>
      <c r="E5" s="3">
        <v>250000</v>
      </c>
      <c r="G5" s="3"/>
      <c r="H5" s="3"/>
      <c r="I5" s="3"/>
      <c r="J5" s="3"/>
      <c r="K5" s="3"/>
      <c r="L5" s="3"/>
      <c r="M5" s="3"/>
      <c r="N5" s="3"/>
    </row>
    <row r="6" spans="1:14" x14ac:dyDescent="0.25">
      <c r="A6" s="42">
        <v>2</v>
      </c>
      <c r="B6" t="s">
        <v>52</v>
      </c>
      <c r="C6" t="s">
        <v>60</v>
      </c>
      <c r="D6" s="8">
        <v>44631</v>
      </c>
      <c r="E6" s="3">
        <v>50000</v>
      </c>
      <c r="G6" s="3"/>
      <c r="H6" s="3"/>
      <c r="I6" s="3"/>
      <c r="J6" s="3"/>
      <c r="K6" s="3"/>
      <c r="L6" s="3"/>
      <c r="M6" s="3"/>
      <c r="N6" s="3"/>
    </row>
    <row r="7" spans="1:14" x14ac:dyDescent="0.25">
      <c r="A7" s="42">
        <v>3</v>
      </c>
      <c r="B7" t="s">
        <v>52</v>
      </c>
      <c r="C7" t="s">
        <v>55</v>
      </c>
      <c r="D7" s="8">
        <v>44817</v>
      </c>
      <c r="E7" s="3">
        <v>100000</v>
      </c>
      <c r="G7" s="3"/>
      <c r="H7" s="3"/>
      <c r="I7" s="3"/>
      <c r="J7" s="3"/>
      <c r="K7" s="3"/>
      <c r="L7" s="3"/>
      <c r="M7" s="3"/>
      <c r="N7" s="3"/>
    </row>
    <row r="8" spans="1:14" x14ac:dyDescent="0.25">
      <c r="A8" s="42">
        <v>3</v>
      </c>
      <c r="B8" t="s">
        <v>52</v>
      </c>
      <c r="C8" t="s">
        <v>55</v>
      </c>
      <c r="D8" s="8">
        <v>44817</v>
      </c>
      <c r="E8" s="3">
        <v>100000</v>
      </c>
      <c r="G8" s="3"/>
      <c r="H8" s="3"/>
      <c r="I8" s="3"/>
      <c r="J8" s="3"/>
      <c r="K8" s="3"/>
      <c r="L8" s="3"/>
      <c r="M8" s="3"/>
      <c r="N8" s="3"/>
    </row>
    <row r="9" spans="1:14" x14ac:dyDescent="0.25">
      <c r="A9" s="42">
        <v>4</v>
      </c>
      <c r="B9" t="s">
        <v>52</v>
      </c>
      <c r="C9" t="s">
        <v>55</v>
      </c>
      <c r="D9" s="8">
        <v>45162</v>
      </c>
      <c r="E9" s="3">
        <v>200000</v>
      </c>
      <c r="G9" s="3"/>
      <c r="H9" s="3"/>
      <c r="I9" s="3"/>
      <c r="J9" s="3"/>
      <c r="K9" s="3"/>
      <c r="L9" s="3"/>
      <c r="M9" s="3"/>
      <c r="N9" s="3"/>
    </row>
    <row r="10" spans="1:14" x14ac:dyDescent="0.25">
      <c r="A10" s="42">
        <v>5</v>
      </c>
      <c r="B10" t="s">
        <v>52</v>
      </c>
      <c r="C10" t="s">
        <v>54</v>
      </c>
      <c r="D10" s="8">
        <v>45190</v>
      </c>
      <c r="E10" s="3">
        <v>250000</v>
      </c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42">
        <v>6</v>
      </c>
      <c r="B11" t="s">
        <v>52</v>
      </c>
      <c r="C11" t="s">
        <v>518</v>
      </c>
      <c r="D11" s="8">
        <v>45363</v>
      </c>
      <c r="E11" s="3">
        <v>75000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42">
        <v>7</v>
      </c>
      <c r="B12" t="s">
        <v>52</v>
      </c>
      <c r="C12" t="s">
        <v>518</v>
      </c>
      <c r="D12" s="8">
        <v>45380</v>
      </c>
      <c r="E12" s="3">
        <v>25000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B13" t="s">
        <v>52</v>
      </c>
      <c r="C13" t="s">
        <v>54</v>
      </c>
      <c r="E13" s="3"/>
      <c r="F13" s="3"/>
      <c r="G13" s="3"/>
      <c r="H13" s="3">
        <v>150000</v>
      </c>
      <c r="I13" s="3"/>
      <c r="J13" s="3"/>
      <c r="K13" s="3"/>
      <c r="L13" s="3"/>
      <c r="M13" s="3"/>
      <c r="N13" s="3"/>
    </row>
    <row r="14" spans="1:14" x14ac:dyDescent="0.25">
      <c r="B14" t="s">
        <v>52</v>
      </c>
      <c r="C14" t="s">
        <v>53</v>
      </c>
      <c r="E14" s="3"/>
      <c r="F14" s="3"/>
      <c r="G14" s="3"/>
      <c r="H14" s="3"/>
      <c r="I14" s="3"/>
      <c r="J14" s="3">
        <v>250000</v>
      </c>
      <c r="K14" s="3"/>
      <c r="L14" s="3"/>
      <c r="M14" s="3"/>
      <c r="N14" s="3"/>
    </row>
    <row r="15" spans="1:14" x14ac:dyDescent="0.25">
      <c r="B15" t="s">
        <v>52</v>
      </c>
      <c r="C15" t="s">
        <v>535</v>
      </c>
      <c r="E15" s="3"/>
      <c r="F15" s="3"/>
      <c r="G15" s="3"/>
      <c r="H15" s="3"/>
      <c r="I15" s="3"/>
      <c r="J15" s="3">
        <v>100000</v>
      </c>
      <c r="K15" s="3"/>
      <c r="L15" s="3"/>
      <c r="M15" s="3"/>
      <c r="N15" s="3"/>
    </row>
    <row r="16" spans="1:14" x14ac:dyDescent="0.25">
      <c r="E16" s="3"/>
      <c r="G16" s="3"/>
      <c r="H16" s="3"/>
      <c r="I16" s="3"/>
      <c r="J16" s="3"/>
      <c r="K16" s="3"/>
      <c r="L16" s="3"/>
      <c r="M16" s="3"/>
      <c r="N16" s="3"/>
    </row>
    <row r="17" spans="5:14" ht="15.75" thickBot="1" x14ac:dyDescent="0.3">
      <c r="E17" s="35">
        <f>SUM(E5:E16)</f>
        <v>1050000</v>
      </c>
      <c r="F17" s="5"/>
      <c r="G17" s="35">
        <f t="shared" ref="G17:K17" si="0">SUM(G5:G16)</f>
        <v>0</v>
      </c>
      <c r="H17" s="35">
        <f t="shared" si="0"/>
        <v>150000</v>
      </c>
      <c r="I17" s="35">
        <f t="shared" si="0"/>
        <v>0</v>
      </c>
      <c r="J17" s="35">
        <f t="shared" si="0"/>
        <v>350000</v>
      </c>
      <c r="K17" s="35">
        <f t="shared" si="0"/>
        <v>0</v>
      </c>
      <c r="L17" s="3"/>
      <c r="M17" s="3">
        <f>SUM(E17:L17)</f>
        <v>1550000</v>
      </c>
      <c r="N17" s="3"/>
    </row>
    <row r="18" spans="5:14" ht="15.75" thickTop="1" x14ac:dyDescent="0.25">
      <c r="G18" s="3"/>
      <c r="H18" s="3"/>
      <c r="I18" s="3"/>
      <c r="J18" s="3"/>
      <c r="K18" s="3"/>
      <c r="L18" s="3"/>
      <c r="M18" s="3"/>
      <c r="N18" s="3"/>
    </row>
    <row r="19" spans="5:14" x14ac:dyDescent="0.25">
      <c r="G19" s="3"/>
      <c r="H19" s="3"/>
      <c r="I19" s="3"/>
      <c r="J19" s="3"/>
      <c r="K19" s="3"/>
      <c r="L19" s="3"/>
      <c r="M19" s="3"/>
      <c r="N19" s="3"/>
    </row>
    <row r="20" spans="5:14" x14ac:dyDescent="0.25">
      <c r="G20" s="3"/>
      <c r="H20" s="3"/>
      <c r="I20" s="3"/>
      <c r="J20" s="3"/>
      <c r="K20" s="3"/>
      <c r="L20" s="3"/>
      <c r="M20" s="3"/>
      <c r="N20" s="3"/>
    </row>
  </sheetData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2DDE-2353-4F12-B8EA-E4C9DBD23216}">
  <sheetPr>
    <tabColor rgb="FFFF0000"/>
  </sheetPr>
  <dimension ref="A1:M54"/>
  <sheetViews>
    <sheetView workbookViewId="0">
      <pane ySplit="4" topLeftCell="A23" activePane="bottomLeft" state="frozen"/>
      <selection pane="bottomLeft" activeCell="A37" sqref="A37"/>
    </sheetView>
  </sheetViews>
  <sheetFormatPr defaultRowHeight="15" x14ac:dyDescent="0.25"/>
  <cols>
    <col min="1" max="1" width="9.140625" style="39"/>
    <col min="2" max="2" width="22.42578125" bestFit="1" customWidth="1"/>
    <col min="3" max="3" width="15.85546875" bestFit="1" customWidth="1"/>
    <col min="4" max="4" width="15.85546875" style="8" customWidth="1"/>
    <col min="5" max="5" width="11.5703125" style="31" bestFit="1" customWidth="1"/>
    <col min="6" max="6" width="3.85546875" customWidth="1"/>
    <col min="7" max="7" width="9.5703125" bestFit="1" customWidth="1"/>
    <col min="8" max="8" width="11.5703125" bestFit="1" customWidth="1"/>
    <col min="9" max="10" width="10.5703125" bestFit="1" customWidth="1"/>
    <col min="12" max="12" width="11.5703125" bestFit="1" customWidth="1"/>
  </cols>
  <sheetData>
    <row r="1" spans="1:13" x14ac:dyDescent="0.25">
      <c r="A1" s="39" t="s">
        <v>130</v>
      </c>
    </row>
    <row r="3" spans="1:13" x14ac:dyDescent="0.25">
      <c r="D3" s="8" t="s">
        <v>163</v>
      </c>
    </row>
    <row r="4" spans="1:13" s="1" customFormat="1" ht="12.75" x14ac:dyDescent="0.2">
      <c r="B4" s="1" t="s">
        <v>26</v>
      </c>
      <c r="C4" s="1" t="s">
        <v>36</v>
      </c>
      <c r="D4" s="21" t="s">
        <v>56</v>
      </c>
      <c r="E4" s="9" t="s">
        <v>27</v>
      </c>
      <c r="G4" s="33">
        <v>45383</v>
      </c>
      <c r="H4" s="33">
        <v>45413</v>
      </c>
      <c r="I4" s="33">
        <v>45444</v>
      </c>
      <c r="J4" s="33">
        <v>45474</v>
      </c>
    </row>
    <row r="5" spans="1:13" x14ac:dyDescent="0.25">
      <c r="A5" s="44">
        <v>1</v>
      </c>
      <c r="B5" t="s">
        <v>129</v>
      </c>
      <c r="C5" t="s">
        <v>192</v>
      </c>
      <c r="D5" s="8">
        <v>44747</v>
      </c>
      <c r="E5" s="31">
        <v>37500</v>
      </c>
      <c r="F5" s="15"/>
      <c r="G5" s="15"/>
      <c r="H5" s="15"/>
      <c r="I5" s="15"/>
      <c r="J5" s="15"/>
      <c r="K5" s="15"/>
      <c r="L5" s="15"/>
      <c r="M5" s="15"/>
    </row>
    <row r="6" spans="1:13" x14ac:dyDescent="0.25">
      <c r="A6" s="44">
        <v>2</v>
      </c>
      <c r="B6" t="s">
        <v>129</v>
      </c>
      <c r="C6" t="s">
        <v>192</v>
      </c>
      <c r="D6" s="8">
        <v>44778</v>
      </c>
      <c r="E6" s="31">
        <v>12500</v>
      </c>
      <c r="F6" s="15"/>
      <c r="G6" s="15"/>
      <c r="H6" s="15"/>
      <c r="I6" s="15"/>
      <c r="J6" s="15"/>
      <c r="K6" s="15"/>
      <c r="L6" s="15"/>
      <c r="M6" s="15"/>
    </row>
    <row r="7" spans="1:13" x14ac:dyDescent="0.25">
      <c r="A7" s="44">
        <v>3</v>
      </c>
      <c r="B7" t="s">
        <v>129</v>
      </c>
      <c r="C7" t="s">
        <v>192</v>
      </c>
      <c r="D7" s="8">
        <v>44809</v>
      </c>
      <c r="E7" s="31">
        <v>12500</v>
      </c>
      <c r="F7" s="15"/>
      <c r="G7" s="15"/>
      <c r="H7" s="15"/>
      <c r="I7" s="15"/>
      <c r="J7" s="15"/>
      <c r="K7" s="15"/>
      <c r="L7" s="15"/>
      <c r="M7" s="15"/>
    </row>
    <row r="8" spans="1:13" x14ac:dyDescent="0.25">
      <c r="A8" s="44">
        <v>4</v>
      </c>
      <c r="B8" t="s">
        <v>186</v>
      </c>
      <c r="C8" t="s">
        <v>130</v>
      </c>
      <c r="D8" s="8">
        <v>44834</v>
      </c>
      <c r="E8" s="31">
        <v>3000</v>
      </c>
      <c r="F8" s="15"/>
      <c r="G8" s="15"/>
      <c r="H8" s="15"/>
      <c r="I8" s="15"/>
      <c r="J8" s="15"/>
      <c r="K8" s="15"/>
      <c r="L8" s="15"/>
      <c r="M8" s="15"/>
    </row>
    <row r="9" spans="1:13" x14ac:dyDescent="0.25">
      <c r="A9" s="44">
        <v>5</v>
      </c>
      <c r="B9" t="s">
        <v>129</v>
      </c>
      <c r="C9" t="s">
        <v>192</v>
      </c>
      <c r="D9" s="8">
        <v>44839</v>
      </c>
      <c r="E9" s="31">
        <v>12500</v>
      </c>
      <c r="F9" s="15"/>
      <c r="G9" s="15"/>
      <c r="H9" s="15"/>
      <c r="I9" s="15"/>
      <c r="J9" s="15"/>
      <c r="K9" s="15"/>
      <c r="L9" s="15"/>
      <c r="M9" s="15"/>
    </row>
    <row r="10" spans="1:13" x14ac:dyDescent="0.25">
      <c r="A10" s="44">
        <v>6</v>
      </c>
      <c r="B10" t="s">
        <v>186</v>
      </c>
      <c r="C10" t="s">
        <v>130</v>
      </c>
      <c r="D10" s="8">
        <v>44865</v>
      </c>
      <c r="E10" s="31">
        <v>6000</v>
      </c>
      <c r="F10" s="15"/>
      <c r="G10" s="15"/>
      <c r="H10" s="15"/>
      <c r="I10" s="15"/>
      <c r="J10" s="15"/>
      <c r="K10" s="15"/>
      <c r="L10" s="15"/>
      <c r="M10" s="15"/>
    </row>
    <row r="11" spans="1:13" x14ac:dyDescent="0.25">
      <c r="A11" s="44">
        <v>7</v>
      </c>
      <c r="B11" t="s">
        <v>129</v>
      </c>
      <c r="C11" t="s">
        <v>192</v>
      </c>
      <c r="D11" s="8">
        <v>44870</v>
      </c>
      <c r="E11" s="31">
        <v>12500</v>
      </c>
      <c r="F11" s="15"/>
      <c r="G11" s="15"/>
      <c r="H11" s="15"/>
      <c r="I11" s="15"/>
      <c r="J11" s="15"/>
      <c r="K11" s="15"/>
      <c r="L11" s="15"/>
      <c r="M11" s="15"/>
    </row>
    <row r="12" spans="1:13" x14ac:dyDescent="0.25">
      <c r="A12" s="44">
        <v>8</v>
      </c>
      <c r="B12" t="s">
        <v>186</v>
      </c>
      <c r="C12" t="s">
        <v>130</v>
      </c>
      <c r="D12" s="8">
        <v>44895</v>
      </c>
      <c r="E12" s="31">
        <v>6000</v>
      </c>
      <c r="F12" s="15"/>
      <c r="G12" s="15"/>
      <c r="H12" s="15"/>
      <c r="I12" s="15"/>
      <c r="J12" s="15"/>
      <c r="K12" s="15"/>
      <c r="L12" s="15"/>
      <c r="M12" s="15"/>
    </row>
    <row r="13" spans="1:13" x14ac:dyDescent="0.25">
      <c r="A13" s="44">
        <v>9</v>
      </c>
      <c r="B13" t="s">
        <v>129</v>
      </c>
      <c r="C13" t="s">
        <v>192</v>
      </c>
      <c r="D13" s="8">
        <v>44900</v>
      </c>
      <c r="E13" s="31">
        <v>12500</v>
      </c>
      <c r="F13" s="15"/>
      <c r="G13" s="15"/>
      <c r="H13" s="15"/>
      <c r="I13" s="15"/>
      <c r="J13" s="15"/>
      <c r="K13" s="15"/>
      <c r="L13" s="15"/>
      <c r="M13" s="15"/>
    </row>
    <row r="14" spans="1:13" x14ac:dyDescent="0.25">
      <c r="A14" s="44">
        <v>10</v>
      </c>
      <c r="B14" t="s">
        <v>186</v>
      </c>
      <c r="C14" t="s">
        <v>130</v>
      </c>
      <c r="D14" s="8">
        <v>44926</v>
      </c>
      <c r="E14" s="31">
        <v>6000</v>
      </c>
      <c r="F14" s="15"/>
      <c r="G14" s="15"/>
      <c r="H14" s="15"/>
      <c r="I14" s="15"/>
      <c r="J14" s="15"/>
      <c r="K14" s="15"/>
      <c r="L14" s="15"/>
      <c r="M14" s="15"/>
    </row>
    <row r="15" spans="1:13" x14ac:dyDescent="0.25">
      <c r="A15" s="44">
        <v>11</v>
      </c>
      <c r="B15" t="s">
        <v>129</v>
      </c>
      <c r="C15" t="s">
        <v>192</v>
      </c>
      <c r="D15" s="8">
        <v>44931</v>
      </c>
      <c r="E15" s="31">
        <v>12500</v>
      </c>
      <c r="F15" s="15"/>
      <c r="G15" s="15"/>
      <c r="H15" s="15"/>
      <c r="I15" s="15"/>
      <c r="J15" s="15"/>
      <c r="K15" s="15"/>
      <c r="L15" s="15"/>
      <c r="M15" s="15"/>
    </row>
    <row r="16" spans="1:13" x14ac:dyDescent="0.25">
      <c r="A16" s="44">
        <v>12</v>
      </c>
      <c r="B16" t="s">
        <v>186</v>
      </c>
      <c r="C16" t="s">
        <v>130</v>
      </c>
      <c r="D16" s="8">
        <v>44957</v>
      </c>
      <c r="E16" s="31">
        <v>6000</v>
      </c>
      <c r="F16" s="15"/>
      <c r="G16" s="15"/>
      <c r="H16" s="15"/>
      <c r="I16" s="15"/>
      <c r="J16" s="15"/>
      <c r="K16" s="15"/>
      <c r="L16" s="15"/>
      <c r="M16" s="15"/>
    </row>
    <row r="17" spans="1:13" x14ac:dyDescent="0.25">
      <c r="A17" s="44">
        <v>13</v>
      </c>
      <c r="B17" t="s">
        <v>129</v>
      </c>
      <c r="C17" t="s">
        <v>192</v>
      </c>
      <c r="D17" s="8">
        <v>44962</v>
      </c>
      <c r="E17" s="31">
        <v>12500</v>
      </c>
      <c r="F17" s="15"/>
      <c r="G17" s="15"/>
      <c r="H17" s="15"/>
      <c r="I17" s="15"/>
      <c r="J17" s="15"/>
      <c r="K17" s="15"/>
      <c r="L17" s="15"/>
      <c r="M17" s="15"/>
    </row>
    <row r="18" spans="1:13" x14ac:dyDescent="0.25">
      <c r="A18" s="44">
        <v>14</v>
      </c>
      <c r="B18" t="s">
        <v>186</v>
      </c>
      <c r="C18" t="s">
        <v>130</v>
      </c>
      <c r="D18" s="8">
        <v>44985</v>
      </c>
      <c r="E18" s="31">
        <v>6000</v>
      </c>
      <c r="F18" s="15"/>
      <c r="G18" s="15"/>
      <c r="H18" s="15"/>
      <c r="I18" s="15"/>
      <c r="J18" s="15"/>
      <c r="K18" s="15"/>
      <c r="L18" s="15"/>
      <c r="M18" s="15"/>
    </row>
    <row r="19" spans="1:13" x14ac:dyDescent="0.25">
      <c r="A19" s="44">
        <v>15</v>
      </c>
      <c r="B19" t="s">
        <v>129</v>
      </c>
      <c r="C19" t="s">
        <v>192</v>
      </c>
      <c r="D19" s="8">
        <v>44990</v>
      </c>
      <c r="E19" s="31">
        <v>12500</v>
      </c>
      <c r="F19" s="15"/>
      <c r="G19" s="15"/>
      <c r="H19" s="15"/>
      <c r="I19" s="15"/>
      <c r="J19" s="15"/>
      <c r="K19" s="15"/>
      <c r="L19" s="15"/>
      <c r="M19" s="15"/>
    </row>
    <row r="20" spans="1:13" x14ac:dyDescent="0.25">
      <c r="A20" s="49">
        <v>16</v>
      </c>
      <c r="B20" t="s">
        <v>186</v>
      </c>
      <c r="C20" t="s">
        <v>130</v>
      </c>
      <c r="D20" s="8">
        <v>45016</v>
      </c>
      <c r="E20" s="31">
        <v>6000</v>
      </c>
      <c r="F20" s="15"/>
      <c r="G20" s="15"/>
      <c r="H20" s="15"/>
      <c r="I20" s="15"/>
      <c r="J20" s="15"/>
      <c r="K20" s="15"/>
      <c r="L20" s="15"/>
      <c r="M20" s="15"/>
    </row>
    <row r="21" spans="1:13" x14ac:dyDescent="0.25">
      <c r="A21" s="49">
        <v>17</v>
      </c>
      <c r="B21" t="s">
        <v>129</v>
      </c>
      <c r="C21" t="s">
        <v>192</v>
      </c>
      <c r="D21" s="8">
        <v>45021</v>
      </c>
      <c r="E21" s="31">
        <v>12500</v>
      </c>
      <c r="F21" s="15"/>
      <c r="G21" s="15"/>
      <c r="H21" s="15"/>
      <c r="I21" s="15"/>
      <c r="J21" s="15"/>
      <c r="K21" s="15"/>
      <c r="L21" s="15"/>
      <c r="M21" s="15"/>
    </row>
    <row r="22" spans="1:13" x14ac:dyDescent="0.25">
      <c r="A22" s="49">
        <v>18</v>
      </c>
      <c r="B22" t="s">
        <v>129</v>
      </c>
      <c r="C22" t="s">
        <v>192</v>
      </c>
      <c r="D22" s="8">
        <v>45021</v>
      </c>
      <c r="E22" s="31">
        <v>32699</v>
      </c>
      <c r="F22" s="15"/>
      <c r="G22" s="15"/>
      <c r="H22" s="15"/>
      <c r="I22" s="15"/>
      <c r="J22" s="15"/>
      <c r="K22" s="15"/>
      <c r="L22" s="15"/>
      <c r="M22" s="15"/>
    </row>
    <row r="23" spans="1:13" x14ac:dyDescent="0.25">
      <c r="A23" s="49">
        <v>19</v>
      </c>
      <c r="B23" t="s">
        <v>186</v>
      </c>
      <c r="C23" t="s">
        <v>130</v>
      </c>
      <c r="D23" s="8">
        <v>45046</v>
      </c>
      <c r="E23" s="31">
        <v>6000</v>
      </c>
      <c r="F23" s="15"/>
      <c r="G23" s="15"/>
      <c r="H23" s="15"/>
      <c r="I23" s="15"/>
      <c r="J23" s="15"/>
      <c r="K23" s="15"/>
      <c r="L23" s="15"/>
      <c r="M23" s="15"/>
    </row>
    <row r="24" spans="1:13" x14ac:dyDescent="0.25">
      <c r="A24" s="49">
        <v>20</v>
      </c>
      <c r="B24" t="s">
        <v>199</v>
      </c>
      <c r="C24" t="s">
        <v>130</v>
      </c>
      <c r="D24" s="8">
        <v>44860</v>
      </c>
      <c r="E24" s="31">
        <v>10000</v>
      </c>
      <c r="F24" s="15"/>
      <c r="G24" s="15"/>
      <c r="H24" s="15"/>
      <c r="I24" s="15"/>
      <c r="J24" s="15"/>
      <c r="K24" s="15"/>
      <c r="L24" s="15"/>
      <c r="M24" s="15"/>
    </row>
    <row r="25" spans="1:13" x14ac:dyDescent="0.25">
      <c r="A25" s="49">
        <v>21</v>
      </c>
      <c r="B25" t="s">
        <v>199</v>
      </c>
      <c r="C25" t="s">
        <v>130</v>
      </c>
      <c r="D25" s="8">
        <v>45076</v>
      </c>
      <c r="E25" s="31">
        <v>83750</v>
      </c>
      <c r="F25" s="15"/>
      <c r="G25" s="15"/>
      <c r="H25" s="15"/>
      <c r="I25" s="15"/>
      <c r="J25" s="15"/>
      <c r="K25" s="15"/>
      <c r="L25" s="15"/>
      <c r="M25" s="15"/>
    </row>
    <row r="26" spans="1:13" x14ac:dyDescent="0.25">
      <c r="A26" s="44">
        <v>22</v>
      </c>
      <c r="B26" t="s">
        <v>186</v>
      </c>
      <c r="C26" t="s">
        <v>130</v>
      </c>
      <c r="D26" s="8">
        <v>45077</v>
      </c>
      <c r="E26" s="31">
        <v>6000</v>
      </c>
      <c r="F26" s="15"/>
      <c r="G26" s="15"/>
      <c r="H26" s="15"/>
      <c r="I26" s="15"/>
      <c r="J26" s="15"/>
      <c r="K26" s="15"/>
      <c r="L26" s="15"/>
      <c r="M26" s="15"/>
    </row>
    <row r="27" spans="1:13" x14ac:dyDescent="0.25">
      <c r="A27" s="44">
        <v>23</v>
      </c>
      <c r="B27" t="s">
        <v>186</v>
      </c>
      <c r="C27" t="s">
        <v>130</v>
      </c>
      <c r="D27" s="8">
        <v>45107</v>
      </c>
      <c r="E27" s="31">
        <v>6000</v>
      </c>
      <c r="F27" s="15"/>
      <c r="G27" s="15"/>
      <c r="H27" s="15"/>
      <c r="I27" s="15"/>
      <c r="J27" s="15"/>
      <c r="K27" s="15"/>
      <c r="L27" s="15"/>
      <c r="M27" s="15"/>
    </row>
    <row r="28" spans="1:13" x14ac:dyDescent="0.25">
      <c r="A28" s="44">
        <v>24</v>
      </c>
      <c r="B28" t="s">
        <v>186</v>
      </c>
      <c r="C28" t="s">
        <v>130</v>
      </c>
      <c r="D28" s="8">
        <v>45138</v>
      </c>
      <c r="E28" s="31">
        <v>6000</v>
      </c>
      <c r="F28" s="15"/>
      <c r="G28" s="15"/>
      <c r="H28" s="15"/>
      <c r="I28" s="15"/>
      <c r="J28" s="15"/>
      <c r="K28" s="15"/>
      <c r="L28" s="15"/>
      <c r="M28" s="15"/>
    </row>
    <row r="29" spans="1:13" x14ac:dyDescent="0.25">
      <c r="A29" s="44">
        <v>25</v>
      </c>
      <c r="B29" t="s">
        <v>186</v>
      </c>
      <c r="C29" t="s">
        <v>130</v>
      </c>
      <c r="D29" s="8">
        <v>45169</v>
      </c>
      <c r="E29" s="31">
        <v>6000</v>
      </c>
      <c r="F29" s="15"/>
      <c r="G29" s="15"/>
      <c r="H29" s="15"/>
      <c r="I29" s="15"/>
      <c r="J29" s="15"/>
      <c r="K29" s="15"/>
      <c r="L29" s="15"/>
      <c r="M29" s="15"/>
    </row>
    <row r="30" spans="1:13" x14ac:dyDescent="0.25">
      <c r="A30" s="44">
        <v>26</v>
      </c>
      <c r="B30" t="s">
        <v>186</v>
      </c>
      <c r="C30" t="s">
        <v>130</v>
      </c>
      <c r="D30" s="8">
        <v>45199</v>
      </c>
      <c r="E30" s="31">
        <v>6000</v>
      </c>
      <c r="F30" s="15"/>
      <c r="G30" s="15"/>
      <c r="H30" s="15"/>
      <c r="I30" s="15"/>
      <c r="J30" s="15"/>
      <c r="K30" s="15"/>
      <c r="L30" s="15"/>
      <c r="M30" s="15"/>
    </row>
    <row r="31" spans="1:13" x14ac:dyDescent="0.25">
      <c r="A31" s="44">
        <v>27</v>
      </c>
      <c r="B31" t="s">
        <v>186</v>
      </c>
      <c r="C31" t="s">
        <v>130</v>
      </c>
      <c r="D31" s="8">
        <v>45230</v>
      </c>
      <c r="E31" s="31">
        <v>6000</v>
      </c>
      <c r="F31" s="15"/>
      <c r="G31" s="15"/>
      <c r="H31" s="15"/>
      <c r="I31" s="15"/>
      <c r="J31" s="15"/>
      <c r="K31" s="15"/>
      <c r="L31" s="15"/>
      <c r="M31" s="15"/>
    </row>
    <row r="32" spans="1:13" x14ac:dyDescent="0.25">
      <c r="A32" s="44">
        <v>28</v>
      </c>
      <c r="B32" t="s">
        <v>186</v>
      </c>
      <c r="C32" t="s">
        <v>130</v>
      </c>
      <c r="D32" s="8">
        <v>45260</v>
      </c>
      <c r="E32" s="31">
        <v>6000</v>
      </c>
      <c r="F32" s="15"/>
      <c r="G32" s="15"/>
      <c r="H32" s="15"/>
      <c r="I32" s="15"/>
      <c r="J32" s="15"/>
      <c r="K32" s="15"/>
      <c r="L32" s="15"/>
      <c r="M32" s="15"/>
    </row>
    <row r="33" spans="1:13" x14ac:dyDescent="0.25">
      <c r="A33" s="44">
        <v>29</v>
      </c>
      <c r="B33" t="s">
        <v>186</v>
      </c>
      <c r="C33" t="s">
        <v>130</v>
      </c>
      <c r="D33" s="8">
        <v>45291</v>
      </c>
      <c r="E33" s="31">
        <v>6000</v>
      </c>
      <c r="F33" s="15"/>
      <c r="G33" s="15"/>
      <c r="H33" s="15"/>
      <c r="I33" s="15"/>
      <c r="J33" s="15"/>
      <c r="K33" s="15"/>
      <c r="L33" s="15"/>
      <c r="M33" s="15"/>
    </row>
    <row r="34" spans="1:13" x14ac:dyDescent="0.25">
      <c r="A34" s="44">
        <v>30</v>
      </c>
      <c r="B34" t="s">
        <v>186</v>
      </c>
      <c r="C34" t="s">
        <v>130</v>
      </c>
      <c r="D34" s="8">
        <v>44957</v>
      </c>
      <c r="E34" s="31">
        <v>4000</v>
      </c>
      <c r="F34" s="15"/>
      <c r="G34" s="15"/>
      <c r="H34" s="15"/>
      <c r="I34" s="15"/>
      <c r="J34" s="15"/>
      <c r="K34" s="15"/>
      <c r="L34" s="15"/>
      <c r="M34" s="15"/>
    </row>
    <row r="35" spans="1:13" x14ac:dyDescent="0.25">
      <c r="A35" s="44">
        <v>31</v>
      </c>
      <c r="B35" t="s">
        <v>186</v>
      </c>
      <c r="C35" t="s">
        <v>130</v>
      </c>
      <c r="D35" s="8">
        <v>45351</v>
      </c>
      <c r="E35" s="31">
        <v>4000</v>
      </c>
      <c r="F35" s="15"/>
      <c r="G35" s="15"/>
      <c r="H35" s="15"/>
      <c r="I35" s="15"/>
      <c r="J35" s="15"/>
      <c r="K35" s="15"/>
      <c r="L35" s="15"/>
      <c r="M35" s="15"/>
    </row>
    <row r="36" spans="1:13" x14ac:dyDescent="0.25">
      <c r="A36" s="44">
        <v>32</v>
      </c>
      <c r="B36" t="s">
        <v>186</v>
      </c>
      <c r="C36" t="s">
        <v>130</v>
      </c>
      <c r="D36" s="8">
        <v>45382</v>
      </c>
      <c r="E36" s="31">
        <v>4000</v>
      </c>
      <c r="F36" s="15"/>
      <c r="G36" s="15"/>
      <c r="H36" s="15"/>
      <c r="I36" s="15"/>
      <c r="J36" s="15"/>
      <c r="K36" s="15"/>
      <c r="L36" s="15"/>
      <c r="M36" s="15"/>
    </row>
    <row r="37" spans="1:13" x14ac:dyDescent="0.25">
      <c r="A37" s="44">
        <v>33</v>
      </c>
      <c r="B37" t="s">
        <v>564</v>
      </c>
      <c r="C37" t="s">
        <v>130</v>
      </c>
      <c r="D37" s="8">
        <v>45385</v>
      </c>
      <c r="E37" s="53">
        <v>9000</v>
      </c>
      <c r="F37" s="214"/>
      <c r="G37" s="214"/>
      <c r="H37" s="214"/>
      <c r="I37" s="214"/>
      <c r="J37" s="214"/>
      <c r="K37" s="214"/>
      <c r="L37" s="214"/>
      <c r="M37" s="214"/>
    </row>
    <row r="38" spans="1:13" x14ac:dyDescent="0.25">
      <c r="B38" t="s">
        <v>186</v>
      </c>
      <c r="C38" t="s">
        <v>130</v>
      </c>
      <c r="D38" s="8">
        <v>45412</v>
      </c>
      <c r="E38" s="53">
        <v>4000</v>
      </c>
      <c r="F38" s="214"/>
      <c r="G38" s="214"/>
      <c r="H38" s="214"/>
      <c r="I38" s="214"/>
      <c r="J38" s="214"/>
      <c r="K38" s="214"/>
      <c r="L38" s="214"/>
      <c r="M38" s="214"/>
    </row>
    <row r="39" spans="1:13" x14ac:dyDescent="0.25">
      <c r="B39" t="s">
        <v>186</v>
      </c>
      <c r="C39" t="s">
        <v>130</v>
      </c>
      <c r="E39" s="53"/>
      <c r="F39" s="15"/>
      <c r="G39" s="15"/>
      <c r="H39" s="15">
        <v>4000</v>
      </c>
      <c r="I39" s="15">
        <v>4000</v>
      </c>
      <c r="J39" s="15"/>
      <c r="K39" s="15"/>
      <c r="L39" s="15"/>
      <c r="M39" s="15"/>
    </row>
    <row r="40" spans="1:13" x14ac:dyDescent="0.25">
      <c r="B40" t="s">
        <v>564</v>
      </c>
      <c r="C40" t="s">
        <v>130</v>
      </c>
      <c r="E40" s="53"/>
      <c r="F40" s="15"/>
      <c r="G40" s="15"/>
      <c r="H40" s="15">
        <v>22500</v>
      </c>
      <c r="I40" s="15">
        <v>22500</v>
      </c>
      <c r="J40" s="15">
        <v>22500</v>
      </c>
      <c r="K40" s="15"/>
      <c r="L40" s="15"/>
      <c r="M40" s="15"/>
    </row>
    <row r="41" spans="1:13" x14ac:dyDescent="0.25">
      <c r="F41" s="15"/>
      <c r="G41" s="15"/>
      <c r="H41" s="15"/>
      <c r="I41" s="15"/>
      <c r="J41" s="15"/>
      <c r="K41" s="15"/>
      <c r="L41" s="15"/>
      <c r="M41" s="15"/>
    </row>
    <row r="42" spans="1:13" ht="16.5" thickBot="1" x14ac:dyDescent="0.3">
      <c r="B42" s="11" t="s">
        <v>137</v>
      </c>
      <c r="C42" s="8"/>
      <c r="D42" s="24"/>
      <c r="E42" s="172">
        <f>SUM(E5:E41)</f>
        <v>394449</v>
      </c>
      <c r="F42" s="15"/>
      <c r="G42" s="172">
        <f t="shared" ref="G42:J42" si="0">SUM(G5:G41)</f>
        <v>0</v>
      </c>
      <c r="H42" s="172">
        <f t="shared" si="0"/>
        <v>26500</v>
      </c>
      <c r="I42" s="172">
        <f t="shared" si="0"/>
        <v>26500</v>
      </c>
      <c r="J42" s="172">
        <f t="shared" si="0"/>
        <v>22500</v>
      </c>
      <c r="K42" s="15"/>
      <c r="L42" s="15">
        <f>SUM(E42:K42)</f>
        <v>469949</v>
      </c>
      <c r="M42" s="15"/>
    </row>
    <row r="43" spans="1:13" ht="15.75" thickTop="1" x14ac:dyDescent="0.25">
      <c r="F43" s="15"/>
      <c r="G43" s="15"/>
      <c r="H43" s="15"/>
      <c r="I43" s="15"/>
      <c r="J43" s="15"/>
      <c r="K43" s="15"/>
      <c r="L43" s="15"/>
      <c r="M43" s="15"/>
    </row>
    <row r="44" spans="1:13" x14ac:dyDescent="0.25">
      <c r="F44" s="15"/>
      <c r="G44" s="15"/>
      <c r="H44" s="15"/>
      <c r="I44" s="15"/>
      <c r="J44" s="15"/>
      <c r="K44" s="15"/>
      <c r="L44" s="15"/>
      <c r="M44" s="15"/>
    </row>
    <row r="45" spans="1:13" x14ac:dyDescent="0.25">
      <c r="F45" s="15"/>
      <c r="G45" s="15"/>
      <c r="H45" s="15"/>
      <c r="I45" s="15"/>
      <c r="J45" s="15"/>
      <c r="K45" s="15"/>
      <c r="L45" s="15"/>
      <c r="M45" s="15"/>
    </row>
    <row r="46" spans="1:13" x14ac:dyDescent="0.25">
      <c r="F46" s="15"/>
      <c r="G46" s="15"/>
      <c r="H46" s="15"/>
      <c r="I46" s="15"/>
      <c r="J46" s="15"/>
      <c r="K46" s="15"/>
      <c r="L46" s="15"/>
      <c r="M46" s="15"/>
    </row>
    <row r="47" spans="1:13" x14ac:dyDescent="0.25">
      <c r="F47" s="15"/>
      <c r="G47" s="15"/>
      <c r="H47" s="15"/>
      <c r="I47" s="15"/>
      <c r="J47" s="15"/>
      <c r="K47" s="15"/>
      <c r="L47" s="15"/>
      <c r="M47" s="15"/>
    </row>
    <row r="48" spans="1:13" x14ac:dyDescent="0.25">
      <c r="F48" s="15"/>
      <c r="G48" s="15"/>
      <c r="H48" s="15"/>
      <c r="I48" s="15"/>
      <c r="J48" s="15"/>
      <c r="K48" s="15"/>
      <c r="L48" s="15"/>
      <c r="M48" s="15"/>
    </row>
    <row r="49" spans="6:13" x14ac:dyDescent="0.25">
      <c r="F49" s="15"/>
      <c r="G49" s="15"/>
      <c r="H49" s="15"/>
      <c r="I49" s="15"/>
      <c r="J49" s="15"/>
      <c r="K49" s="15"/>
      <c r="L49" s="15"/>
      <c r="M49" s="15"/>
    </row>
    <row r="50" spans="6:13" x14ac:dyDescent="0.25">
      <c r="F50" s="15"/>
      <c r="G50" s="15"/>
      <c r="H50" s="15"/>
      <c r="I50" s="15"/>
      <c r="J50" s="15"/>
      <c r="K50" s="15"/>
      <c r="L50" s="15"/>
      <c r="M50" s="15"/>
    </row>
    <row r="51" spans="6:13" x14ac:dyDescent="0.25">
      <c r="F51" s="15"/>
      <c r="G51" s="15"/>
      <c r="H51" s="15"/>
      <c r="I51" s="15"/>
      <c r="J51" s="15"/>
      <c r="K51" s="15"/>
      <c r="L51" s="15"/>
      <c r="M51" s="15"/>
    </row>
    <row r="52" spans="6:13" x14ac:dyDescent="0.25">
      <c r="F52" s="15"/>
      <c r="G52" s="15"/>
      <c r="H52" s="15"/>
      <c r="I52" s="15"/>
      <c r="J52" s="15"/>
      <c r="K52" s="15"/>
      <c r="L52" s="15"/>
      <c r="M52" s="15"/>
    </row>
    <row r="53" spans="6:13" x14ac:dyDescent="0.25">
      <c r="F53" s="15"/>
      <c r="G53" s="15"/>
      <c r="H53" s="15"/>
      <c r="I53" s="15"/>
      <c r="J53" s="15"/>
      <c r="K53" s="15"/>
      <c r="L53" s="15"/>
      <c r="M53" s="15"/>
    </row>
    <row r="54" spans="6:13" x14ac:dyDescent="0.25">
      <c r="F54" s="15"/>
      <c r="G54" s="15"/>
      <c r="H54" s="15"/>
      <c r="I54" s="15"/>
      <c r="J54" s="15"/>
      <c r="K54" s="15"/>
      <c r="L54" s="15"/>
      <c r="M54" s="15"/>
    </row>
  </sheetData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8CD8-19D1-4025-837C-DA4A46CAB190}">
  <sheetPr>
    <tabColor rgb="FFFF0000"/>
  </sheetPr>
  <dimension ref="A1:N78"/>
  <sheetViews>
    <sheetView workbookViewId="0">
      <pane ySplit="4" topLeftCell="A47" activePane="bottomLeft" state="frozen"/>
      <selection activeCell="I77" sqref="I77"/>
      <selection pane="bottomLeft" activeCell="H62" sqref="H62"/>
    </sheetView>
  </sheetViews>
  <sheetFormatPr defaultRowHeight="15" x14ac:dyDescent="0.25"/>
  <cols>
    <col min="1" max="1" width="11" customWidth="1"/>
    <col min="2" max="2" width="11.5703125" bestFit="1" customWidth="1"/>
    <col min="3" max="3" width="11.5703125" customWidth="1"/>
    <col min="4" max="4" width="10.5703125" bestFit="1" customWidth="1"/>
    <col min="5" max="5" width="9.5703125" bestFit="1" customWidth="1"/>
    <col min="6" max="6" width="11.5703125" bestFit="1" customWidth="1"/>
    <col min="8" max="8" width="9.5703125" bestFit="1" customWidth="1"/>
    <col min="9" max="11" width="11.5703125" bestFit="1" customWidth="1"/>
    <col min="14" max="14" width="11.5703125" bestFit="1" customWidth="1"/>
  </cols>
  <sheetData>
    <row r="1" spans="1:12" x14ac:dyDescent="0.25">
      <c r="A1" t="s">
        <v>141</v>
      </c>
    </row>
    <row r="4" spans="1:12" x14ac:dyDescent="0.25">
      <c r="A4" s="1" t="s">
        <v>56</v>
      </c>
      <c r="B4" s="1" t="s">
        <v>138</v>
      </c>
      <c r="C4" s="1" t="s">
        <v>170</v>
      </c>
      <c r="D4" s="1" t="s">
        <v>139</v>
      </c>
      <c r="E4" s="1" t="s">
        <v>140</v>
      </c>
      <c r="F4" s="1" t="s">
        <v>0</v>
      </c>
      <c r="H4" s="33">
        <v>45383</v>
      </c>
      <c r="I4" s="33">
        <v>45413</v>
      </c>
      <c r="J4" s="33">
        <v>45444</v>
      </c>
      <c r="K4" s="33">
        <v>45474</v>
      </c>
      <c r="L4" s="33">
        <v>45505</v>
      </c>
    </row>
    <row r="5" spans="1:12" x14ac:dyDescent="0.25">
      <c r="A5" s="8">
        <v>44575</v>
      </c>
      <c r="B5" s="15">
        <f>ROUND(147000/26,2)*0.5</f>
        <v>2826.9250000000002</v>
      </c>
      <c r="C5" s="15">
        <f>ROUND(B5*0.0765,2)</f>
        <v>216.26</v>
      </c>
      <c r="D5" s="25">
        <f>1088.99*0.5</f>
        <v>544.495</v>
      </c>
      <c r="E5" s="25">
        <f>226.15*0.5</f>
        <v>113.075</v>
      </c>
      <c r="F5" s="25">
        <f t="shared" ref="F5:F30" si="0">SUM(B5:E5)</f>
        <v>3700.7550000000001</v>
      </c>
    </row>
    <row r="6" spans="1:12" x14ac:dyDescent="0.25">
      <c r="A6" s="8">
        <v>44589</v>
      </c>
      <c r="B6" s="15">
        <f t="shared" ref="B6:B30" si="1">ROUND(147000/26,2)*0.5</f>
        <v>2826.9250000000002</v>
      </c>
      <c r="C6" s="15">
        <f t="shared" ref="C6:C30" si="2">ROUND(B6*0.0765,2)</f>
        <v>216.26</v>
      </c>
      <c r="D6" s="25">
        <f>1088.99*0.5</f>
        <v>544.495</v>
      </c>
      <c r="E6" s="25">
        <f t="shared" ref="E6:E30" si="3">226.15*0.5</f>
        <v>113.075</v>
      </c>
      <c r="F6" s="25">
        <f t="shared" si="0"/>
        <v>3700.7550000000001</v>
      </c>
    </row>
    <row r="7" spans="1:12" x14ac:dyDescent="0.25">
      <c r="A7" s="8">
        <v>44603</v>
      </c>
      <c r="B7" s="15">
        <f t="shared" si="1"/>
        <v>2826.9250000000002</v>
      </c>
      <c r="C7" s="15">
        <f t="shared" si="2"/>
        <v>216.26</v>
      </c>
      <c r="D7" s="25">
        <f>1088.99*0.5</f>
        <v>544.495</v>
      </c>
      <c r="E7" s="25">
        <f t="shared" si="3"/>
        <v>113.075</v>
      </c>
      <c r="F7" s="25">
        <f t="shared" si="0"/>
        <v>3700.7550000000001</v>
      </c>
    </row>
    <row r="8" spans="1:12" x14ac:dyDescent="0.25">
      <c r="A8" s="8">
        <v>44617</v>
      </c>
      <c r="B8" s="15">
        <f t="shared" si="1"/>
        <v>2826.9250000000002</v>
      </c>
      <c r="C8" s="15">
        <f t="shared" si="2"/>
        <v>216.26</v>
      </c>
      <c r="D8" s="25">
        <f>1088.99*0.5</f>
        <v>544.495</v>
      </c>
      <c r="E8" s="25">
        <f t="shared" si="3"/>
        <v>113.075</v>
      </c>
      <c r="F8" s="25">
        <f t="shared" si="0"/>
        <v>3700.7550000000001</v>
      </c>
    </row>
    <row r="9" spans="1:12" x14ac:dyDescent="0.25">
      <c r="A9" s="8">
        <v>44631</v>
      </c>
      <c r="B9" s="15">
        <f t="shared" si="1"/>
        <v>2826.9250000000002</v>
      </c>
      <c r="C9" s="15">
        <f t="shared" si="2"/>
        <v>216.26</v>
      </c>
      <c r="D9" s="25">
        <f>1129.4*0.5</f>
        <v>564.70000000000005</v>
      </c>
      <c r="E9" s="25">
        <f t="shared" si="3"/>
        <v>113.075</v>
      </c>
      <c r="F9" s="25">
        <f t="shared" si="0"/>
        <v>3720.96</v>
      </c>
    </row>
    <row r="10" spans="1:12" x14ac:dyDescent="0.25">
      <c r="A10" s="8">
        <v>44645</v>
      </c>
      <c r="B10" s="15">
        <f t="shared" si="1"/>
        <v>2826.9250000000002</v>
      </c>
      <c r="C10" s="15">
        <f t="shared" si="2"/>
        <v>216.26</v>
      </c>
      <c r="D10" s="25">
        <f t="shared" ref="D10:D30" si="4">1129.4*0.5</f>
        <v>564.70000000000005</v>
      </c>
      <c r="E10" s="25">
        <f t="shared" si="3"/>
        <v>113.075</v>
      </c>
      <c r="F10" s="25">
        <f t="shared" si="0"/>
        <v>3720.96</v>
      </c>
    </row>
    <row r="11" spans="1:12" x14ac:dyDescent="0.25">
      <c r="A11" s="8">
        <v>44659</v>
      </c>
      <c r="B11" s="15">
        <f t="shared" si="1"/>
        <v>2826.9250000000002</v>
      </c>
      <c r="C11" s="15">
        <f t="shared" si="2"/>
        <v>216.26</v>
      </c>
      <c r="D11" s="25">
        <f t="shared" si="4"/>
        <v>564.70000000000005</v>
      </c>
      <c r="E11" s="25">
        <f t="shared" si="3"/>
        <v>113.075</v>
      </c>
      <c r="F11" s="25">
        <f t="shared" si="0"/>
        <v>3720.96</v>
      </c>
    </row>
    <row r="12" spans="1:12" x14ac:dyDescent="0.25">
      <c r="A12" s="8">
        <v>44673</v>
      </c>
      <c r="B12" s="15">
        <f t="shared" si="1"/>
        <v>2826.9250000000002</v>
      </c>
      <c r="C12" s="15">
        <f t="shared" si="2"/>
        <v>216.26</v>
      </c>
      <c r="D12" s="25">
        <f t="shared" si="4"/>
        <v>564.70000000000005</v>
      </c>
      <c r="E12" s="25">
        <f t="shared" si="3"/>
        <v>113.075</v>
      </c>
      <c r="F12" s="25">
        <f t="shared" si="0"/>
        <v>3720.96</v>
      </c>
    </row>
    <row r="13" spans="1:12" x14ac:dyDescent="0.25">
      <c r="A13" s="8">
        <v>44687</v>
      </c>
      <c r="B13" s="15">
        <f t="shared" si="1"/>
        <v>2826.9250000000002</v>
      </c>
      <c r="C13" s="15">
        <f t="shared" si="2"/>
        <v>216.26</v>
      </c>
      <c r="D13" s="25">
        <f t="shared" si="4"/>
        <v>564.70000000000005</v>
      </c>
      <c r="E13" s="25">
        <f t="shared" si="3"/>
        <v>113.075</v>
      </c>
      <c r="F13" s="25">
        <f t="shared" si="0"/>
        <v>3720.96</v>
      </c>
    </row>
    <row r="14" spans="1:12" x14ac:dyDescent="0.25">
      <c r="A14" s="8">
        <v>44701</v>
      </c>
      <c r="B14" s="15">
        <f t="shared" si="1"/>
        <v>2826.9250000000002</v>
      </c>
      <c r="C14" s="15">
        <f t="shared" si="2"/>
        <v>216.26</v>
      </c>
      <c r="D14" s="25">
        <f t="shared" si="4"/>
        <v>564.70000000000005</v>
      </c>
      <c r="E14" s="25">
        <f t="shared" si="3"/>
        <v>113.075</v>
      </c>
      <c r="F14" s="25">
        <f t="shared" si="0"/>
        <v>3720.96</v>
      </c>
    </row>
    <row r="15" spans="1:12" x14ac:dyDescent="0.25">
      <c r="A15" s="8">
        <v>44715</v>
      </c>
      <c r="B15" s="15">
        <f t="shared" si="1"/>
        <v>2826.9250000000002</v>
      </c>
      <c r="C15" s="15">
        <f t="shared" si="2"/>
        <v>216.26</v>
      </c>
      <c r="D15" s="25">
        <f t="shared" si="4"/>
        <v>564.70000000000005</v>
      </c>
      <c r="E15" s="25">
        <f t="shared" si="3"/>
        <v>113.075</v>
      </c>
      <c r="F15" s="25">
        <f t="shared" si="0"/>
        <v>3720.96</v>
      </c>
    </row>
    <row r="16" spans="1:12" x14ac:dyDescent="0.25">
      <c r="A16" s="8">
        <v>44729</v>
      </c>
      <c r="B16" s="15">
        <f t="shared" si="1"/>
        <v>2826.9250000000002</v>
      </c>
      <c r="C16" s="15">
        <f t="shared" si="2"/>
        <v>216.26</v>
      </c>
      <c r="D16" s="25">
        <f t="shared" si="4"/>
        <v>564.70000000000005</v>
      </c>
      <c r="E16" s="25">
        <f t="shared" si="3"/>
        <v>113.075</v>
      </c>
      <c r="F16" s="25">
        <f t="shared" si="0"/>
        <v>3720.96</v>
      </c>
    </row>
    <row r="17" spans="1:6" x14ac:dyDescent="0.25">
      <c r="A17" s="8">
        <v>44743</v>
      </c>
      <c r="B17" s="15">
        <f t="shared" si="1"/>
        <v>2826.9250000000002</v>
      </c>
      <c r="C17" s="15">
        <f t="shared" si="2"/>
        <v>216.26</v>
      </c>
      <c r="D17" s="25">
        <f t="shared" si="4"/>
        <v>564.70000000000005</v>
      </c>
      <c r="E17" s="25">
        <f t="shared" si="3"/>
        <v>113.075</v>
      </c>
      <c r="F17" s="25">
        <f t="shared" si="0"/>
        <v>3720.96</v>
      </c>
    </row>
    <row r="18" spans="1:6" x14ac:dyDescent="0.25">
      <c r="A18" s="8">
        <v>44757</v>
      </c>
      <c r="B18" s="15">
        <f t="shared" si="1"/>
        <v>2826.9250000000002</v>
      </c>
      <c r="C18" s="15">
        <f t="shared" si="2"/>
        <v>216.26</v>
      </c>
      <c r="D18" s="25">
        <f t="shared" si="4"/>
        <v>564.70000000000005</v>
      </c>
      <c r="E18" s="25">
        <f t="shared" si="3"/>
        <v>113.075</v>
      </c>
      <c r="F18" s="25">
        <f t="shared" si="0"/>
        <v>3720.96</v>
      </c>
    </row>
    <row r="19" spans="1:6" x14ac:dyDescent="0.25">
      <c r="A19" s="8">
        <v>44771</v>
      </c>
      <c r="B19" s="15">
        <f t="shared" si="1"/>
        <v>2826.9250000000002</v>
      </c>
      <c r="C19" s="15">
        <f t="shared" si="2"/>
        <v>216.26</v>
      </c>
      <c r="D19" s="25">
        <f t="shared" si="4"/>
        <v>564.70000000000005</v>
      </c>
      <c r="E19" s="25">
        <f t="shared" si="3"/>
        <v>113.075</v>
      </c>
      <c r="F19" s="25">
        <f t="shared" si="0"/>
        <v>3720.96</v>
      </c>
    </row>
    <row r="20" spans="1:6" x14ac:dyDescent="0.25">
      <c r="A20" s="8">
        <v>44785</v>
      </c>
      <c r="B20" s="15">
        <f t="shared" si="1"/>
        <v>2826.9250000000002</v>
      </c>
      <c r="C20" s="15">
        <f t="shared" si="2"/>
        <v>216.26</v>
      </c>
      <c r="D20" s="25">
        <f t="shared" si="4"/>
        <v>564.70000000000005</v>
      </c>
      <c r="E20" s="25">
        <f t="shared" si="3"/>
        <v>113.075</v>
      </c>
      <c r="F20" s="25">
        <f t="shared" si="0"/>
        <v>3720.96</v>
      </c>
    </row>
    <row r="21" spans="1:6" x14ac:dyDescent="0.25">
      <c r="A21" s="8">
        <v>44799</v>
      </c>
      <c r="B21" s="15">
        <f t="shared" si="1"/>
        <v>2826.9250000000002</v>
      </c>
      <c r="C21" s="15">
        <f t="shared" si="2"/>
        <v>216.26</v>
      </c>
      <c r="D21" s="25">
        <f t="shared" si="4"/>
        <v>564.70000000000005</v>
      </c>
      <c r="E21" s="25">
        <f t="shared" si="3"/>
        <v>113.075</v>
      </c>
      <c r="F21" s="25">
        <f t="shared" si="0"/>
        <v>3720.96</v>
      </c>
    </row>
    <row r="22" spans="1:6" x14ac:dyDescent="0.25">
      <c r="A22" s="8">
        <v>44813</v>
      </c>
      <c r="B22" s="15">
        <f t="shared" si="1"/>
        <v>2826.9250000000002</v>
      </c>
      <c r="C22" s="15">
        <f t="shared" si="2"/>
        <v>216.26</v>
      </c>
      <c r="D22" s="25">
        <f t="shared" si="4"/>
        <v>564.70000000000005</v>
      </c>
      <c r="E22" s="25">
        <f t="shared" si="3"/>
        <v>113.075</v>
      </c>
      <c r="F22" s="25">
        <f t="shared" si="0"/>
        <v>3720.96</v>
      </c>
    </row>
    <row r="23" spans="1:6" x14ac:dyDescent="0.25">
      <c r="A23" s="8">
        <v>44827</v>
      </c>
      <c r="B23" s="15">
        <f t="shared" si="1"/>
        <v>2826.9250000000002</v>
      </c>
      <c r="C23" s="15">
        <f t="shared" si="2"/>
        <v>216.26</v>
      </c>
      <c r="D23" s="25">
        <f t="shared" si="4"/>
        <v>564.70000000000005</v>
      </c>
      <c r="E23" s="25">
        <f t="shared" si="3"/>
        <v>113.075</v>
      </c>
      <c r="F23" s="25">
        <f t="shared" si="0"/>
        <v>3720.96</v>
      </c>
    </row>
    <row r="24" spans="1:6" x14ac:dyDescent="0.25">
      <c r="A24" s="8">
        <v>44841</v>
      </c>
      <c r="B24" s="15">
        <f t="shared" si="1"/>
        <v>2826.9250000000002</v>
      </c>
      <c r="C24" s="15">
        <f t="shared" si="2"/>
        <v>216.26</v>
      </c>
      <c r="D24" s="25">
        <f t="shared" si="4"/>
        <v>564.70000000000005</v>
      </c>
      <c r="E24" s="25">
        <f t="shared" si="3"/>
        <v>113.075</v>
      </c>
      <c r="F24" s="25">
        <f t="shared" si="0"/>
        <v>3720.96</v>
      </c>
    </row>
    <row r="25" spans="1:6" x14ac:dyDescent="0.25">
      <c r="A25" s="8">
        <v>44855</v>
      </c>
      <c r="B25" s="15">
        <f t="shared" si="1"/>
        <v>2826.9250000000002</v>
      </c>
      <c r="C25" s="15">
        <f t="shared" si="2"/>
        <v>216.26</v>
      </c>
      <c r="D25" s="25">
        <f t="shared" si="4"/>
        <v>564.70000000000005</v>
      </c>
      <c r="E25" s="25">
        <f t="shared" si="3"/>
        <v>113.075</v>
      </c>
      <c r="F25" s="25">
        <f t="shared" si="0"/>
        <v>3720.96</v>
      </c>
    </row>
    <row r="26" spans="1:6" x14ac:dyDescent="0.25">
      <c r="A26" s="8">
        <v>44869</v>
      </c>
      <c r="B26" s="15">
        <f t="shared" si="1"/>
        <v>2826.9250000000002</v>
      </c>
      <c r="C26" s="15">
        <f t="shared" si="2"/>
        <v>216.26</v>
      </c>
      <c r="D26" s="25">
        <f t="shared" si="4"/>
        <v>564.70000000000005</v>
      </c>
      <c r="E26" s="25">
        <f t="shared" si="3"/>
        <v>113.075</v>
      </c>
      <c r="F26" s="25">
        <f t="shared" si="0"/>
        <v>3720.96</v>
      </c>
    </row>
    <row r="27" spans="1:6" x14ac:dyDescent="0.25">
      <c r="A27" s="8">
        <v>44883</v>
      </c>
      <c r="B27" s="15">
        <f t="shared" si="1"/>
        <v>2826.9250000000002</v>
      </c>
      <c r="C27" s="15">
        <f t="shared" si="2"/>
        <v>216.26</v>
      </c>
      <c r="D27" s="25">
        <f t="shared" si="4"/>
        <v>564.70000000000005</v>
      </c>
      <c r="E27" s="25">
        <f t="shared" si="3"/>
        <v>113.075</v>
      </c>
      <c r="F27" s="25">
        <f t="shared" si="0"/>
        <v>3720.96</v>
      </c>
    </row>
    <row r="28" spans="1:6" x14ac:dyDescent="0.25">
      <c r="A28" s="8">
        <v>44897</v>
      </c>
      <c r="B28" s="15">
        <f t="shared" si="1"/>
        <v>2826.9250000000002</v>
      </c>
      <c r="C28" s="15">
        <f t="shared" si="2"/>
        <v>216.26</v>
      </c>
      <c r="D28" s="25">
        <f t="shared" si="4"/>
        <v>564.70000000000005</v>
      </c>
      <c r="E28" s="25">
        <f t="shared" si="3"/>
        <v>113.075</v>
      </c>
      <c r="F28" s="25">
        <f t="shared" si="0"/>
        <v>3720.96</v>
      </c>
    </row>
    <row r="29" spans="1:6" x14ac:dyDescent="0.25">
      <c r="A29" s="8">
        <v>44911</v>
      </c>
      <c r="B29" s="15">
        <f>(ROUND(147000/26,2)+25000)*0.5</f>
        <v>15326.924999999999</v>
      </c>
      <c r="C29" s="15">
        <f t="shared" si="2"/>
        <v>1172.51</v>
      </c>
      <c r="D29" s="25">
        <f t="shared" si="4"/>
        <v>564.70000000000005</v>
      </c>
      <c r="E29" s="25">
        <f>1226.15*0.5</f>
        <v>613.07500000000005</v>
      </c>
      <c r="F29" s="25">
        <f t="shared" si="0"/>
        <v>17677.21</v>
      </c>
    </row>
    <row r="30" spans="1:6" x14ac:dyDescent="0.25">
      <c r="A30" s="8">
        <v>44925</v>
      </c>
      <c r="B30" s="15">
        <f t="shared" si="1"/>
        <v>2826.9250000000002</v>
      </c>
      <c r="C30" s="15">
        <f t="shared" si="2"/>
        <v>216.26</v>
      </c>
      <c r="D30" s="25">
        <f t="shared" si="4"/>
        <v>564.70000000000005</v>
      </c>
      <c r="E30" s="25">
        <f t="shared" si="3"/>
        <v>113.075</v>
      </c>
      <c r="F30" s="25">
        <f t="shared" si="0"/>
        <v>3720.96</v>
      </c>
    </row>
    <row r="31" spans="1:6" x14ac:dyDescent="0.25">
      <c r="A31" s="8">
        <v>44939</v>
      </c>
      <c r="B31" s="15">
        <f t="shared" ref="B31:B37" si="5">ROUND(150000/26,2)*0.5</f>
        <v>2884.6149999999998</v>
      </c>
      <c r="C31" s="15">
        <f t="shared" ref="C31:C37" si="6">ROUND(B31*0.0765,2)</f>
        <v>220.67</v>
      </c>
      <c r="D31" s="15">
        <f t="shared" ref="D31:D37" si="7">3267.58*0.75/2*0.5</f>
        <v>612.67124999999999</v>
      </c>
      <c r="E31" s="15">
        <f t="shared" ref="E31:E37" si="8">B31*0.04</f>
        <v>115.38459999999999</v>
      </c>
      <c r="F31" s="25">
        <f t="shared" ref="F31:F37" si="9">SUM(B31:E31)</f>
        <v>3833.3408499999996</v>
      </c>
    </row>
    <row r="32" spans="1:6" x14ac:dyDescent="0.25">
      <c r="A32" s="8">
        <v>44953</v>
      </c>
      <c r="B32" s="15">
        <f t="shared" si="5"/>
        <v>2884.6149999999998</v>
      </c>
      <c r="C32" s="15">
        <f t="shared" si="6"/>
        <v>220.67</v>
      </c>
      <c r="D32" s="15">
        <f t="shared" si="7"/>
        <v>612.67124999999999</v>
      </c>
      <c r="E32" s="15">
        <f t="shared" si="8"/>
        <v>115.38459999999999</v>
      </c>
      <c r="F32" s="25">
        <f t="shared" si="9"/>
        <v>3833.3408499999996</v>
      </c>
    </row>
    <row r="33" spans="1:6" x14ac:dyDescent="0.25">
      <c r="A33" s="8">
        <v>44967</v>
      </c>
      <c r="B33" s="15">
        <f t="shared" si="5"/>
        <v>2884.6149999999998</v>
      </c>
      <c r="C33" s="15">
        <f t="shared" si="6"/>
        <v>220.67</v>
      </c>
      <c r="D33" s="15">
        <f t="shared" si="7"/>
        <v>612.67124999999999</v>
      </c>
      <c r="E33" s="15">
        <f t="shared" si="8"/>
        <v>115.38459999999999</v>
      </c>
      <c r="F33" s="25">
        <f t="shared" si="9"/>
        <v>3833.3408499999996</v>
      </c>
    </row>
    <row r="34" spans="1:6" x14ac:dyDescent="0.25">
      <c r="A34" s="8">
        <v>44981</v>
      </c>
      <c r="B34" s="15">
        <f t="shared" si="5"/>
        <v>2884.6149999999998</v>
      </c>
      <c r="C34" s="15">
        <f t="shared" si="6"/>
        <v>220.67</v>
      </c>
      <c r="D34" s="15">
        <f t="shared" si="7"/>
        <v>612.67124999999999</v>
      </c>
      <c r="E34" s="15">
        <f t="shared" si="8"/>
        <v>115.38459999999999</v>
      </c>
      <c r="F34" s="25">
        <f t="shared" si="9"/>
        <v>3833.3408499999996</v>
      </c>
    </row>
    <row r="35" spans="1:6" x14ac:dyDescent="0.25">
      <c r="A35" s="8">
        <v>44995</v>
      </c>
      <c r="B35" s="15">
        <f t="shared" si="5"/>
        <v>2884.6149999999998</v>
      </c>
      <c r="C35" s="15">
        <f t="shared" si="6"/>
        <v>220.67</v>
      </c>
      <c r="D35" s="15">
        <f t="shared" si="7"/>
        <v>612.67124999999999</v>
      </c>
      <c r="E35" s="15">
        <f t="shared" si="8"/>
        <v>115.38459999999999</v>
      </c>
      <c r="F35" s="25">
        <f t="shared" si="9"/>
        <v>3833.3408499999996</v>
      </c>
    </row>
    <row r="36" spans="1:6" x14ac:dyDescent="0.25">
      <c r="A36" s="8">
        <v>45009</v>
      </c>
      <c r="B36" s="15">
        <f t="shared" si="5"/>
        <v>2884.6149999999998</v>
      </c>
      <c r="C36" s="15">
        <f t="shared" si="6"/>
        <v>220.67</v>
      </c>
      <c r="D36" s="15">
        <f t="shared" si="7"/>
        <v>612.67124999999999</v>
      </c>
      <c r="E36" s="15">
        <f t="shared" si="8"/>
        <v>115.38459999999999</v>
      </c>
      <c r="F36" s="25">
        <f t="shared" si="9"/>
        <v>3833.3408499999996</v>
      </c>
    </row>
    <row r="37" spans="1:6" x14ac:dyDescent="0.25">
      <c r="A37" s="8">
        <v>45023</v>
      </c>
      <c r="B37" s="15">
        <f t="shared" si="5"/>
        <v>2884.6149999999998</v>
      </c>
      <c r="C37" s="15">
        <f t="shared" si="6"/>
        <v>220.67</v>
      </c>
      <c r="D37" s="15">
        <f t="shared" si="7"/>
        <v>612.67124999999999</v>
      </c>
      <c r="E37" s="15">
        <f t="shared" si="8"/>
        <v>115.38459999999999</v>
      </c>
      <c r="F37" s="25">
        <f t="shared" si="9"/>
        <v>3833.3408499999996</v>
      </c>
    </row>
    <row r="38" spans="1:6" x14ac:dyDescent="0.25">
      <c r="A38" s="8">
        <v>45037</v>
      </c>
      <c r="B38" s="15">
        <f t="shared" ref="B38:B64" si="10">ROUND(150000/26,2)*0.5</f>
        <v>2884.6149999999998</v>
      </c>
      <c r="C38" s="15">
        <f t="shared" ref="C38" si="11">ROUND(B38*0.0765,2)</f>
        <v>220.67</v>
      </c>
      <c r="D38" s="15">
        <f>3267.58*0.75/2*0.5</f>
        <v>612.67124999999999</v>
      </c>
      <c r="E38" s="15">
        <f t="shared" ref="E38" si="12">B38*0.04</f>
        <v>115.38459999999999</v>
      </c>
      <c r="F38" s="25">
        <f t="shared" ref="F38" si="13">SUM(B38:E38)</f>
        <v>3833.3408499999996</v>
      </c>
    </row>
    <row r="39" spans="1:6" x14ac:dyDescent="0.25">
      <c r="A39" s="8">
        <v>45051</v>
      </c>
      <c r="B39" s="15">
        <f t="shared" si="10"/>
        <v>2884.6149999999998</v>
      </c>
      <c r="C39" s="15">
        <f t="shared" ref="C39" si="14">ROUND(B39*0.0765,2)</f>
        <v>220.67</v>
      </c>
      <c r="D39" s="15">
        <f>3267.58*0.75/2*0.5</f>
        <v>612.67124999999999</v>
      </c>
      <c r="E39" s="15">
        <f t="shared" ref="E39" si="15">B39*0.04</f>
        <v>115.38459999999999</v>
      </c>
      <c r="F39" s="25">
        <f t="shared" ref="F39" si="16">SUM(B39:E39)</f>
        <v>3833.3408499999996</v>
      </c>
    </row>
    <row r="40" spans="1:6" x14ac:dyDescent="0.25">
      <c r="A40" s="8">
        <v>45065</v>
      </c>
      <c r="B40" s="15">
        <f t="shared" si="10"/>
        <v>2884.6149999999998</v>
      </c>
      <c r="C40" s="15">
        <f t="shared" ref="C40" si="17">ROUND(B40*0.0765,2)</f>
        <v>220.67</v>
      </c>
      <c r="D40" s="15">
        <f>3267.58*0.75/2*0.5</f>
        <v>612.67124999999999</v>
      </c>
      <c r="E40" s="15">
        <f t="shared" ref="E40" si="18">B40*0.04</f>
        <v>115.38459999999999</v>
      </c>
      <c r="F40" s="25">
        <f t="shared" ref="F40" si="19">SUM(B40:E40)</f>
        <v>3833.3408499999996</v>
      </c>
    </row>
    <row r="41" spans="1:6" x14ac:dyDescent="0.25">
      <c r="A41" s="8">
        <v>45079</v>
      </c>
      <c r="B41" s="15">
        <f t="shared" si="10"/>
        <v>2884.6149999999998</v>
      </c>
      <c r="C41" s="15">
        <f t="shared" ref="C41:C43" si="20">ROUND(B41*0.0765,2)</f>
        <v>220.67</v>
      </c>
      <c r="D41" s="15">
        <f t="shared" ref="D41:D60" si="21">3267.58*0.75/2*0.5</f>
        <v>612.67124999999999</v>
      </c>
      <c r="E41" s="15">
        <f t="shared" ref="E41:E43" si="22">B41*0.04</f>
        <v>115.38459999999999</v>
      </c>
      <c r="F41" s="25">
        <f t="shared" ref="F41:F43" si="23">SUM(B41:E41)</f>
        <v>3833.3408499999996</v>
      </c>
    </row>
    <row r="42" spans="1:6" x14ac:dyDescent="0.25">
      <c r="A42" s="8">
        <v>45093</v>
      </c>
      <c r="B42" s="15">
        <f t="shared" si="10"/>
        <v>2884.6149999999998</v>
      </c>
      <c r="C42" s="15">
        <f t="shared" si="20"/>
        <v>220.67</v>
      </c>
      <c r="D42" s="15">
        <f t="shared" si="21"/>
        <v>612.67124999999999</v>
      </c>
      <c r="E42" s="15">
        <f t="shared" si="22"/>
        <v>115.38459999999999</v>
      </c>
      <c r="F42" s="25">
        <f t="shared" si="23"/>
        <v>3833.3408499999996</v>
      </c>
    </row>
    <row r="43" spans="1:6" x14ac:dyDescent="0.25">
      <c r="A43" s="8">
        <v>45107</v>
      </c>
      <c r="B43" s="15">
        <f t="shared" si="10"/>
        <v>2884.6149999999998</v>
      </c>
      <c r="C43" s="15">
        <f t="shared" si="20"/>
        <v>220.67</v>
      </c>
      <c r="D43" s="15">
        <f t="shared" si="21"/>
        <v>612.67124999999999</v>
      </c>
      <c r="E43" s="15">
        <f t="shared" si="22"/>
        <v>115.38459999999999</v>
      </c>
      <c r="F43" s="25">
        <f t="shared" si="23"/>
        <v>3833.3408499999996</v>
      </c>
    </row>
    <row r="44" spans="1:6" x14ac:dyDescent="0.25">
      <c r="A44" s="8">
        <v>45121</v>
      </c>
      <c r="B44" s="15">
        <f t="shared" si="10"/>
        <v>2884.6149999999998</v>
      </c>
      <c r="C44" s="15">
        <f t="shared" ref="C44" si="24">ROUND(B44*0.0765,2)</f>
        <v>220.67</v>
      </c>
      <c r="D44" s="15">
        <f t="shared" si="21"/>
        <v>612.67124999999999</v>
      </c>
      <c r="E44" s="15">
        <f t="shared" ref="E44" si="25">B44*0.04</f>
        <v>115.38459999999999</v>
      </c>
      <c r="F44" s="25">
        <f t="shared" ref="F44" si="26">SUM(B44:E44)</f>
        <v>3833.3408499999996</v>
      </c>
    </row>
    <row r="45" spans="1:6" x14ac:dyDescent="0.25">
      <c r="A45" s="8">
        <v>45135</v>
      </c>
      <c r="B45" s="15">
        <f t="shared" si="10"/>
        <v>2884.6149999999998</v>
      </c>
      <c r="C45" s="15">
        <f t="shared" ref="C45" si="27">ROUND(B45*0.0765,2)</f>
        <v>220.67</v>
      </c>
      <c r="D45" s="15">
        <f t="shared" si="21"/>
        <v>612.67124999999999</v>
      </c>
      <c r="E45" s="15">
        <f t="shared" ref="E45" si="28">B45*0.04</f>
        <v>115.38459999999999</v>
      </c>
      <c r="F45" s="25">
        <f t="shared" ref="F45" si="29">SUM(B45:E45)</f>
        <v>3833.3408499999996</v>
      </c>
    </row>
    <row r="46" spans="1:6" x14ac:dyDescent="0.25">
      <c r="A46" s="8">
        <v>45149</v>
      </c>
      <c r="B46" s="15">
        <f t="shared" si="10"/>
        <v>2884.6149999999998</v>
      </c>
      <c r="C46" s="15">
        <f t="shared" ref="C46:C47" si="30">ROUND(B46*0.0765,2)</f>
        <v>220.67</v>
      </c>
      <c r="D46" s="15">
        <f t="shared" si="21"/>
        <v>612.67124999999999</v>
      </c>
      <c r="E46" s="15">
        <f t="shared" ref="E46:E47" si="31">B46*0.04</f>
        <v>115.38459999999999</v>
      </c>
      <c r="F46" s="25">
        <f t="shared" ref="F46:F47" si="32">SUM(B46:E46)</f>
        <v>3833.3408499999996</v>
      </c>
    </row>
    <row r="47" spans="1:6" x14ac:dyDescent="0.25">
      <c r="A47" s="8">
        <v>45163</v>
      </c>
      <c r="B47" s="15">
        <f t="shared" si="10"/>
        <v>2884.6149999999998</v>
      </c>
      <c r="C47" s="15">
        <f t="shared" si="30"/>
        <v>220.67</v>
      </c>
      <c r="D47" s="15">
        <f t="shared" si="21"/>
        <v>612.67124999999999</v>
      </c>
      <c r="E47" s="15">
        <f t="shared" si="31"/>
        <v>115.38459999999999</v>
      </c>
      <c r="F47" s="25">
        <f t="shared" si="32"/>
        <v>3833.3408499999996</v>
      </c>
    </row>
    <row r="48" spans="1:6" x14ac:dyDescent="0.25">
      <c r="A48" s="8">
        <v>45177</v>
      </c>
      <c r="B48" s="15">
        <f t="shared" si="10"/>
        <v>2884.6149999999998</v>
      </c>
      <c r="C48" s="15">
        <f t="shared" ref="C48:C49" si="33">ROUND(B48*0.0765,2)</f>
        <v>220.67</v>
      </c>
      <c r="D48" s="15">
        <f t="shared" si="21"/>
        <v>612.67124999999999</v>
      </c>
      <c r="E48" s="15">
        <f t="shared" ref="E48:E49" si="34">B48*0.04</f>
        <v>115.38459999999999</v>
      </c>
      <c r="F48" s="25">
        <f t="shared" ref="F48:F49" si="35">SUM(B48:E48)</f>
        <v>3833.3408499999996</v>
      </c>
    </row>
    <row r="49" spans="1:9" x14ac:dyDescent="0.25">
      <c r="A49" s="8">
        <v>45191</v>
      </c>
      <c r="B49" s="15">
        <f t="shared" si="10"/>
        <v>2884.6149999999998</v>
      </c>
      <c r="C49" s="15">
        <f t="shared" si="33"/>
        <v>220.67</v>
      </c>
      <c r="D49" s="15">
        <f t="shared" si="21"/>
        <v>612.67124999999999</v>
      </c>
      <c r="E49" s="15">
        <f t="shared" si="34"/>
        <v>115.38459999999999</v>
      </c>
      <c r="F49" s="25">
        <f t="shared" si="35"/>
        <v>3833.3408499999996</v>
      </c>
    </row>
    <row r="50" spans="1:9" x14ac:dyDescent="0.25">
      <c r="A50" s="8">
        <v>45205</v>
      </c>
      <c r="B50" s="15">
        <f t="shared" si="10"/>
        <v>2884.6149999999998</v>
      </c>
      <c r="C50" s="15">
        <f t="shared" ref="C50:C51" si="36">ROUND(B50*0.0765,2)</f>
        <v>220.67</v>
      </c>
      <c r="D50" s="15">
        <f t="shared" si="21"/>
        <v>612.67124999999999</v>
      </c>
      <c r="E50" s="15">
        <f t="shared" ref="E50:E51" si="37">B50*0.04</f>
        <v>115.38459999999999</v>
      </c>
      <c r="F50" s="25">
        <f t="shared" ref="F50:F51" si="38">SUM(B50:E50)</f>
        <v>3833.3408499999996</v>
      </c>
    </row>
    <row r="51" spans="1:9" x14ac:dyDescent="0.25">
      <c r="A51" s="8">
        <v>45219</v>
      </c>
      <c r="B51" s="15">
        <f t="shared" si="10"/>
        <v>2884.6149999999998</v>
      </c>
      <c r="C51" s="15">
        <f t="shared" si="36"/>
        <v>220.67</v>
      </c>
      <c r="D51" s="15">
        <f t="shared" si="21"/>
        <v>612.67124999999999</v>
      </c>
      <c r="E51" s="15">
        <f t="shared" si="37"/>
        <v>115.38459999999999</v>
      </c>
      <c r="F51" s="25">
        <f t="shared" si="38"/>
        <v>3833.3408499999996</v>
      </c>
    </row>
    <row r="52" spans="1:9" x14ac:dyDescent="0.25">
      <c r="A52" s="8">
        <v>45233</v>
      </c>
      <c r="B52" s="15">
        <f t="shared" si="10"/>
        <v>2884.6149999999998</v>
      </c>
      <c r="C52" s="15">
        <f t="shared" ref="C52:C54" si="39">ROUND(B52*0.0765,2)</f>
        <v>220.67</v>
      </c>
      <c r="D52" s="15">
        <f t="shared" si="21"/>
        <v>612.67124999999999</v>
      </c>
      <c r="E52" s="15">
        <f t="shared" ref="E52:E54" si="40">B52*0.04</f>
        <v>115.38459999999999</v>
      </c>
      <c r="F52" s="25">
        <f t="shared" ref="F52:F54" si="41">SUM(B52:E52)</f>
        <v>3833.3408499999996</v>
      </c>
    </row>
    <row r="53" spans="1:9" x14ac:dyDescent="0.25">
      <c r="A53" s="8">
        <v>45247</v>
      </c>
      <c r="B53" s="15">
        <f t="shared" si="10"/>
        <v>2884.6149999999998</v>
      </c>
      <c r="C53" s="15">
        <f t="shared" si="39"/>
        <v>220.67</v>
      </c>
      <c r="D53" s="15">
        <f t="shared" si="21"/>
        <v>612.67124999999999</v>
      </c>
      <c r="E53" s="15">
        <f t="shared" si="40"/>
        <v>115.38459999999999</v>
      </c>
      <c r="F53" s="25">
        <f t="shared" si="41"/>
        <v>3833.3408499999996</v>
      </c>
    </row>
    <row r="54" spans="1:9" x14ac:dyDescent="0.25">
      <c r="A54" s="8">
        <v>45261</v>
      </c>
      <c r="B54" s="15">
        <f t="shared" si="10"/>
        <v>2884.6149999999998</v>
      </c>
      <c r="C54" s="15">
        <f t="shared" si="39"/>
        <v>220.67</v>
      </c>
      <c r="D54" s="15">
        <f t="shared" si="21"/>
        <v>612.67124999999999</v>
      </c>
      <c r="E54" s="15">
        <f t="shared" si="40"/>
        <v>115.38459999999999</v>
      </c>
      <c r="F54" s="25">
        <f t="shared" si="41"/>
        <v>3833.3408499999996</v>
      </c>
    </row>
    <row r="55" spans="1:9" x14ac:dyDescent="0.25">
      <c r="A55" s="8">
        <v>45275</v>
      </c>
      <c r="B55" s="15">
        <f t="shared" si="10"/>
        <v>2884.6149999999998</v>
      </c>
      <c r="C55" s="15">
        <f t="shared" ref="C55:C56" si="42">ROUND(B55*0.0765,2)</f>
        <v>220.67</v>
      </c>
      <c r="D55" s="15">
        <f t="shared" si="21"/>
        <v>612.67124999999999</v>
      </c>
      <c r="E55" s="15">
        <f t="shared" ref="E55:E56" si="43">B55*0.04</f>
        <v>115.38459999999999</v>
      </c>
      <c r="F55" s="25">
        <f t="shared" ref="F55:F56" si="44">SUM(B55:E55)</f>
        <v>3833.3408499999996</v>
      </c>
    </row>
    <row r="56" spans="1:9" x14ac:dyDescent="0.25">
      <c r="A56" s="8">
        <v>45289</v>
      </c>
      <c r="B56" s="15">
        <f t="shared" si="10"/>
        <v>2884.6149999999998</v>
      </c>
      <c r="C56" s="15">
        <f t="shared" si="42"/>
        <v>220.67</v>
      </c>
      <c r="D56" s="15">
        <f t="shared" si="21"/>
        <v>612.67124999999999</v>
      </c>
      <c r="E56" s="15">
        <f t="shared" si="43"/>
        <v>115.38459999999999</v>
      </c>
      <c r="F56" s="25">
        <f t="shared" si="44"/>
        <v>3833.3408499999996</v>
      </c>
    </row>
    <row r="57" spans="1:9" x14ac:dyDescent="0.25">
      <c r="A57" s="8">
        <v>45303</v>
      </c>
      <c r="B57" s="15">
        <f t="shared" si="10"/>
        <v>2884.6149999999998</v>
      </c>
      <c r="C57" s="15">
        <f t="shared" ref="C57:C58" si="45">ROUND(B57*0.0765,2)</f>
        <v>220.67</v>
      </c>
      <c r="D57" s="15">
        <f t="shared" si="21"/>
        <v>612.67124999999999</v>
      </c>
      <c r="E57" s="15">
        <f t="shared" ref="E57:E58" si="46">B57*0.04</f>
        <v>115.38459999999999</v>
      </c>
      <c r="F57" s="25">
        <f t="shared" ref="F57:F58" si="47">SUM(B57:E57)</f>
        <v>3833.3408499999996</v>
      </c>
    </row>
    <row r="58" spans="1:9" x14ac:dyDescent="0.25">
      <c r="A58" s="8">
        <v>45317</v>
      </c>
      <c r="B58" s="15">
        <f t="shared" si="10"/>
        <v>2884.6149999999998</v>
      </c>
      <c r="C58" s="15">
        <f t="shared" si="45"/>
        <v>220.67</v>
      </c>
      <c r="D58" s="15">
        <f t="shared" si="21"/>
        <v>612.67124999999999</v>
      </c>
      <c r="E58" s="15">
        <f t="shared" si="46"/>
        <v>115.38459999999999</v>
      </c>
      <c r="F58" s="25">
        <f t="shared" si="47"/>
        <v>3833.3408499999996</v>
      </c>
    </row>
    <row r="59" spans="1:9" x14ac:dyDescent="0.25">
      <c r="A59" s="8">
        <v>45331</v>
      </c>
      <c r="B59" s="15">
        <f t="shared" si="10"/>
        <v>2884.6149999999998</v>
      </c>
      <c r="C59" s="15">
        <f t="shared" ref="C59:C61" si="48">ROUND(B59*0.0765,2)</f>
        <v>220.67</v>
      </c>
      <c r="D59" s="15">
        <f t="shared" si="21"/>
        <v>612.67124999999999</v>
      </c>
      <c r="E59" s="15">
        <f t="shared" ref="E59:E61" si="49">B59*0.04</f>
        <v>115.38459999999999</v>
      </c>
      <c r="F59" s="25">
        <f t="shared" ref="F59:F61" si="50">SUM(B59:E59)</f>
        <v>3833.3408499999996</v>
      </c>
      <c r="I59" s="3"/>
    </row>
    <row r="60" spans="1:9" x14ac:dyDescent="0.25">
      <c r="A60" s="8">
        <v>45345</v>
      </c>
      <c r="B60" s="15">
        <f t="shared" si="10"/>
        <v>2884.6149999999998</v>
      </c>
      <c r="C60" s="15">
        <f t="shared" si="48"/>
        <v>220.67</v>
      </c>
      <c r="D60" s="15">
        <f t="shared" si="21"/>
        <v>612.67124999999999</v>
      </c>
      <c r="E60" s="15">
        <f t="shared" si="49"/>
        <v>115.38459999999999</v>
      </c>
      <c r="F60" s="25">
        <f t="shared" si="50"/>
        <v>3833.3408499999996</v>
      </c>
      <c r="I60" s="3"/>
    </row>
    <row r="61" spans="1:9" x14ac:dyDescent="0.25">
      <c r="A61" s="8">
        <v>45359</v>
      </c>
      <c r="B61" s="15">
        <f t="shared" si="10"/>
        <v>2884.6149999999998</v>
      </c>
      <c r="C61" s="15">
        <f t="shared" si="48"/>
        <v>220.67</v>
      </c>
      <c r="D61" s="15">
        <f>3521*0.75/2*0.5</f>
        <v>660.1875</v>
      </c>
      <c r="E61" s="15">
        <f t="shared" si="49"/>
        <v>115.38459999999999</v>
      </c>
      <c r="F61" s="25">
        <f t="shared" si="50"/>
        <v>3880.8570999999997</v>
      </c>
      <c r="I61" s="3"/>
    </row>
    <row r="62" spans="1:9" x14ac:dyDescent="0.25">
      <c r="A62" s="8">
        <v>45373</v>
      </c>
      <c r="B62" s="15">
        <f t="shared" si="10"/>
        <v>2884.6149999999998</v>
      </c>
      <c r="C62" s="15">
        <f t="shared" ref="C62" si="51">ROUND(B62*0.0765,2)</f>
        <v>220.67</v>
      </c>
      <c r="D62" s="15">
        <f>3521*0.75/2*0.5</f>
        <v>660.1875</v>
      </c>
      <c r="E62" s="15">
        <f t="shared" ref="E62" si="52">B62*0.04</f>
        <v>115.38459999999999</v>
      </c>
      <c r="F62" s="25">
        <f t="shared" ref="F62" si="53">SUM(B62:E62)</f>
        <v>3880.8570999999997</v>
      </c>
      <c r="I62" s="3"/>
    </row>
    <row r="63" spans="1:9" x14ac:dyDescent="0.25">
      <c r="A63" s="8">
        <v>45387</v>
      </c>
      <c r="B63" s="15">
        <f t="shared" si="10"/>
        <v>2884.6149999999998</v>
      </c>
      <c r="C63" s="15">
        <f t="shared" ref="C63:C64" si="54">ROUND(B63*0.0765,2)</f>
        <v>220.67</v>
      </c>
      <c r="D63" s="15">
        <f t="shared" ref="D63:D64" si="55">3521*0.75/2*0.5</f>
        <v>660.1875</v>
      </c>
      <c r="E63" s="15">
        <f t="shared" ref="E63:E64" si="56">B63*0.04</f>
        <v>115.38459999999999</v>
      </c>
      <c r="F63" s="25">
        <f t="shared" ref="F63:F64" si="57">SUM(B63:E63)</f>
        <v>3880.8570999999997</v>
      </c>
      <c r="H63" s="25"/>
      <c r="I63" s="3"/>
    </row>
    <row r="64" spans="1:9" x14ac:dyDescent="0.25">
      <c r="A64" s="8">
        <v>45401</v>
      </c>
      <c r="B64" s="15">
        <f t="shared" si="10"/>
        <v>2884.6149999999998</v>
      </c>
      <c r="C64" s="15">
        <f t="shared" si="54"/>
        <v>220.67</v>
      </c>
      <c r="D64" s="15">
        <f t="shared" si="55"/>
        <v>660.1875</v>
      </c>
      <c r="E64" s="15">
        <f t="shared" si="56"/>
        <v>115.38459999999999</v>
      </c>
      <c r="F64" s="25">
        <f t="shared" si="57"/>
        <v>3880.8570999999997</v>
      </c>
      <c r="H64" s="25"/>
      <c r="I64" s="3"/>
    </row>
    <row r="65" spans="1:14" x14ac:dyDescent="0.25">
      <c r="A65" s="8">
        <v>45415</v>
      </c>
      <c r="B65" s="15"/>
      <c r="C65" s="15"/>
      <c r="D65" s="15"/>
      <c r="E65" s="15"/>
      <c r="F65" s="25"/>
      <c r="I65" s="25">
        <f>2884.62+220.67+660.19+115.38</f>
        <v>3880.86</v>
      </c>
    </row>
    <row r="66" spans="1:14" x14ac:dyDescent="0.25">
      <c r="A66" s="8">
        <v>45429</v>
      </c>
      <c r="B66" s="15"/>
      <c r="C66" s="15"/>
      <c r="D66" s="15"/>
      <c r="E66" s="15"/>
      <c r="F66" s="25"/>
      <c r="I66" s="25">
        <f>2884.62+220.67+660.19+115.38</f>
        <v>3880.86</v>
      </c>
    </row>
    <row r="67" spans="1:14" x14ac:dyDescent="0.25">
      <c r="A67" s="8">
        <v>45443</v>
      </c>
      <c r="B67" s="15"/>
      <c r="C67" s="15"/>
      <c r="D67" s="15"/>
      <c r="E67" s="15"/>
      <c r="F67" s="25"/>
      <c r="I67" s="25">
        <f>2884.62+220.67+660.19+115.38</f>
        <v>3880.86</v>
      </c>
      <c r="J67" s="25"/>
    </row>
    <row r="68" spans="1:14" x14ac:dyDescent="0.25">
      <c r="A68" s="8">
        <v>45457</v>
      </c>
      <c r="B68" s="15"/>
      <c r="C68" s="15"/>
      <c r="D68" s="15"/>
      <c r="E68" s="15"/>
      <c r="F68" s="25"/>
      <c r="I68" s="3"/>
      <c r="J68" s="25">
        <f>2884.62+220.67+660.19+115.38</f>
        <v>3880.86</v>
      </c>
    </row>
    <row r="69" spans="1:14" x14ac:dyDescent="0.25">
      <c r="A69" s="8">
        <v>45471</v>
      </c>
      <c r="B69" s="15"/>
      <c r="C69" s="15"/>
      <c r="D69" s="15"/>
      <c r="E69" s="15"/>
      <c r="F69" s="25"/>
      <c r="I69" s="3"/>
      <c r="J69" s="25">
        <f t="shared" ref="J69:K70" si="58">2884.62+220.67+660.19+115.38</f>
        <v>3880.86</v>
      </c>
    </row>
    <row r="70" spans="1:14" x14ac:dyDescent="0.25">
      <c r="A70" s="8">
        <v>45485</v>
      </c>
      <c r="B70" s="15"/>
      <c r="C70" s="15"/>
      <c r="D70" s="15"/>
      <c r="E70" s="15"/>
      <c r="F70" s="25"/>
      <c r="I70" s="3"/>
      <c r="J70" s="25"/>
      <c r="K70" s="25">
        <f t="shared" si="58"/>
        <v>3880.86</v>
      </c>
    </row>
    <row r="71" spans="1:14" x14ac:dyDescent="0.25">
      <c r="A71" s="8"/>
      <c r="B71" s="15"/>
      <c r="C71" s="15"/>
      <c r="D71" s="15"/>
      <c r="E71" s="15"/>
      <c r="F71" s="25"/>
      <c r="I71" s="3"/>
    </row>
    <row r="72" spans="1:14" x14ac:dyDescent="0.25">
      <c r="A72" t="s">
        <v>232</v>
      </c>
      <c r="I72" s="3"/>
      <c r="J72" s="15"/>
      <c r="K72" s="15">
        <f>150000+150000*0.0765</f>
        <v>161475</v>
      </c>
    </row>
    <row r="74" spans="1:14" x14ac:dyDescent="0.25">
      <c r="A74" t="s">
        <v>142</v>
      </c>
      <c r="B74" s="26">
        <f>SUM(B5:B73)</f>
        <v>184076.95999999993</v>
      </c>
      <c r="C74" s="26">
        <f>SUM(C5:C73)</f>
        <v>14081.790000000005</v>
      </c>
      <c r="D74" s="26">
        <f>SUM(D5:D73)</f>
        <v>35622.267499999994</v>
      </c>
      <c r="E74" s="26">
        <f>SUM(E5:E73)</f>
        <v>7363.0264000000079</v>
      </c>
      <c r="F74" s="26">
        <f>SUM(F5:F73)</f>
        <v>241144.04390000016</v>
      </c>
      <c r="H74" s="26">
        <f>SUM(H5:H73)</f>
        <v>0</v>
      </c>
      <c r="I74" s="26">
        <f>SUM(I5:I73)</f>
        <v>11642.58</v>
      </c>
      <c r="J74" s="26">
        <f>SUM(J5:J73)</f>
        <v>7761.72</v>
      </c>
      <c r="K74" s="26">
        <f>SUM(K5:K73)</f>
        <v>165355.85999999999</v>
      </c>
      <c r="L74" s="26">
        <f>SUM(L5:L73)</f>
        <v>0</v>
      </c>
      <c r="N74" s="25">
        <f>SUM(F74:M74)</f>
        <v>425904.20390000014</v>
      </c>
    </row>
    <row r="76" spans="1:14" x14ac:dyDescent="0.25">
      <c r="A76" s="44" t="s">
        <v>191</v>
      </c>
      <c r="B76" s="44"/>
      <c r="C76" s="44"/>
      <c r="D76" s="44"/>
    </row>
    <row r="78" spans="1:14" x14ac:dyDescent="0.25">
      <c r="A78" s="8"/>
      <c r="B78" s="15"/>
      <c r="C78" s="15"/>
      <c r="D78" s="15"/>
      <c r="E78" s="15"/>
      <c r="F78" s="25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0F2D-D3A9-4C22-8D60-B52A9EC8FF6E}">
  <sheetPr>
    <tabColor rgb="FFFF0000"/>
    <pageSetUpPr fitToPage="1"/>
  </sheetPr>
  <dimension ref="A1:AD44"/>
  <sheetViews>
    <sheetView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D33" sqref="D33"/>
    </sheetView>
  </sheetViews>
  <sheetFormatPr defaultRowHeight="15" x14ac:dyDescent="0.25"/>
  <cols>
    <col min="1" max="1" width="11" customWidth="1"/>
    <col min="2" max="2" width="11.5703125" bestFit="1" customWidth="1"/>
    <col min="3" max="5" width="10.5703125" bestFit="1" customWidth="1"/>
    <col min="6" max="6" width="2.5703125" customWidth="1"/>
    <col min="7" max="7" width="11.5703125" bestFit="1" customWidth="1"/>
    <col min="8" max="8" width="4.140625" customWidth="1"/>
    <col min="9" max="9" width="11.5703125" bestFit="1" customWidth="1"/>
    <col min="10" max="10" width="10.5703125" bestFit="1" customWidth="1"/>
    <col min="11" max="11" width="9.5703125" bestFit="1" customWidth="1"/>
    <col min="12" max="12" width="10.5703125" bestFit="1" customWidth="1"/>
    <col min="13" max="13" width="2.5703125" customWidth="1"/>
    <col min="14" max="14" width="11.5703125" bestFit="1" customWidth="1"/>
    <col min="15" max="15" width="3" customWidth="1"/>
    <col min="16" max="19" width="7.5703125" customWidth="1"/>
    <col min="20" max="20" width="10.5703125" bestFit="1" customWidth="1"/>
    <col min="21" max="21" width="4.85546875" customWidth="1"/>
    <col min="22" max="22" width="11.5703125" bestFit="1" customWidth="1"/>
    <col min="30" max="30" width="11.5703125" bestFit="1" customWidth="1"/>
  </cols>
  <sheetData>
    <row r="1" spans="1:28" x14ac:dyDescent="0.25">
      <c r="A1" t="s">
        <v>147</v>
      </c>
    </row>
    <row r="3" spans="1:28" ht="15.75" thickBot="1" x14ac:dyDescent="0.3"/>
    <row r="4" spans="1:28" ht="15.75" thickBot="1" x14ac:dyDescent="0.3">
      <c r="B4" s="227" t="s">
        <v>195</v>
      </c>
      <c r="C4" s="228"/>
      <c r="D4" s="228"/>
      <c r="E4" s="228"/>
      <c r="F4" s="228"/>
      <c r="G4" s="229"/>
      <c r="I4" s="227" t="s">
        <v>198</v>
      </c>
      <c r="J4" s="228"/>
      <c r="K4" s="228"/>
      <c r="L4" s="228"/>
      <c r="M4" s="228"/>
      <c r="N4" s="229"/>
      <c r="P4" s="227" t="s">
        <v>221</v>
      </c>
      <c r="Q4" s="228"/>
      <c r="R4" s="228"/>
      <c r="S4" s="228"/>
      <c r="T4" s="229"/>
      <c r="V4" s="28" t="s">
        <v>0</v>
      </c>
      <c r="X4" s="36">
        <v>45383</v>
      </c>
      <c r="Y4" s="36">
        <v>45413</v>
      </c>
      <c r="Z4" s="36">
        <v>45444</v>
      </c>
      <c r="AA4" s="36">
        <v>45474</v>
      </c>
      <c r="AB4" s="36">
        <v>45505</v>
      </c>
    </row>
    <row r="5" spans="1:28" x14ac:dyDescent="0.25">
      <c r="A5" s="1" t="s">
        <v>248</v>
      </c>
      <c r="B5" s="1" t="s">
        <v>143</v>
      </c>
      <c r="C5" s="1" t="s">
        <v>144</v>
      </c>
      <c r="D5" s="1" t="s">
        <v>145</v>
      </c>
      <c r="E5" s="1" t="s">
        <v>146</v>
      </c>
      <c r="F5" s="1"/>
      <c r="G5" s="1" t="s">
        <v>0</v>
      </c>
      <c r="I5" s="1" t="s">
        <v>143</v>
      </c>
      <c r="J5" s="1" t="s">
        <v>144</v>
      </c>
      <c r="K5" s="1" t="s">
        <v>145</v>
      </c>
      <c r="L5" s="1" t="s">
        <v>146</v>
      </c>
      <c r="M5" s="1"/>
      <c r="N5" s="1" t="s">
        <v>0</v>
      </c>
      <c r="P5" s="1" t="s">
        <v>143</v>
      </c>
      <c r="Q5" s="1" t="s">
        <v>144</v>
      </c>
      <c r="R5" s="1" t="s">
        <v>145</v>
      </c>
      <c r="S5" s="1" t="s">
        <v>146</v>
      </c>
      <c r="T5" s="1" t="s">
        <v>0</v>
      </c>
    </row>
    <row r="6" spans="1:28" x14ac:dyDescent="0.25">
      <c r="A6" s="32">
        <v>44562</v>
      </c>
      <c r="B6" s="15">
        <v>2914</v>
      </c>
      <c r="C6" s="25"/>
      <c r="D6" s="25">
        <v>40</v>
      </c>
      <c r="E6" s="25">
        <v>210.38</v>
      </c>
      <c r="F6" s="25"/>
      <c r="G6" s="25">
        <f>SUM(B6:F6)</f>
        <v>3164.38</v>
      </c>
      <c r="H6" s="42">
        <v>21</v>
      </c>
      <c r="I6" s="15">
        <v>1278.2</v>
      </c>
      <c r="J6" s="25"/>
      <c r="K6" s="25"/>
      <c r="L6" s="25"/>
      <c r="M6" s="25"/>
      <c r="N6" s="25">
        <f>SUM(I6:M6)</f>
        <v>1278.2</v>
      </c>
      <c r="P6" s="15"/>
      <c r="Q6" s="15"/>
      <c r="R6" s="15"/>
      <c r="S6" s="15"/>
      <c r="T6" s="15">
        <v>3000</v>
      </c>
      <c r="V6" s="25">
        <f>G6+N6+T6</f>
        <v>7442.58</v>
      </c>
    </row>
    <row r="7" spans="1:28" x14ac:dyDescent="0.25">
      <c r="A7" s="32">
        <v>44593</v>
      </c>
      <c r="B7" s="15">
        <v>1585.4</v>
      </c>
      <c r="C7" s="25"/>
      <c r="D7" s="25"/>
      <c r="E7" s="25">
        <v>140.68</v>
      </c>
      <c r="F7" s="25"/>
      <c r="G7" s="25">
        <f t="shared" ref="G7:G17" si="0">SUM(B7:F7)</f>
        <v>1726.0800000000002</v>
      </c>
      <c r="H7" s="42">
        <v>22</v>
      </c>
      <c r="I7" s="15">
        <v>1430.4</v>
      </c>
      <c r="J7" s="25">
        <v>282.74</v>
      </c>
      <c r="K7" s="25"/>
      <c r="L7" s="25">
        <v>14.4</v>
      </c>
      <c r="M7" s="25"/>
      <c r="N7" s="25">
        <f t="shared" ref="N7:N21" si="1">SUM(I7:M7)</f>
        <v>1727.5400000000002</v>
      </c>
      <c r="P7" s="15"/>
      <c r="Q7" s="15"/>
      <c r="R7" s="15"/>
      <c r="S7" s="15"/>
      <c r="T7" s="15">
        <v>3000</v>
      </c>
      <c r="V7" s="25">
        <f t="shared" ref="V7:V25" si="2">G7+N7+T7</f>
        <v>6453.6200000000008</v>
      </c>
    </row>
    <row r="8" spans="1:28" x14ac:dyDescent="0.25">
      <c r="A8" s="32">
        <v>44621</v>
      </c>
      <c r="B8" s="15">
        <v>2922</v>
      </c>
      <c r="C8" s="25">
        <v>892.99</v>
      </c>
      <c r="D8" s="25"/>
      <c r="E8" s="25">
        <v>949.43</v>
      </c>
      <c r="F8" s="25"/>
      <c r="G8" s="25">
        <f t="shared" si="0"/>
        <v>4764.42</v>
      </c>
      <c r="H8" s="42">
        <v>23</v>
      </c>
      <c r="I8" s="15">
        <v>81.400000000000006</v>
      </c>
      <c r="J8" s="25"/>
      <c r="K8" s="25"/>
      <c r="L8" s="25"/>
      <c r="M8" s="25"/>
      <c r="N8" s="25">
        <f t="shared" si="1"/>
        <v>81.400000000000006</v>
      </c>
      <c r="P8" s="15"/>
      <c r="Q8" s="15"/>
      <c r="R8" s="15"/>
      <c r="S8" s="15"/>
      <c r="T8" s="15">
        <v>3000</v>
      </c>
      <c r="V8" s="25">
        <f t="shared" si="2"/>
        <v>7845.82</v>
      </c>
    </row>
    <row r="9" spans="1:28" x14ac:dyDescent="0.25">
      <c r="A9" s="32">
        <v>44652</v>
      </c>
      <c r="B9" s="15">
        <f>675.2+2176.2</f>
        <v>2851.3999999999996</v>
      </c>
      <c r="C9" s="25">
        <f>997.28+161.59</f>
        <v>1158.8699999999999</v>
      </c>
      <c r="D9" s="25"/>
      <c r="E9" s="25">
        <f>648.89+58.95</f>
        <v>707.84</v>
      </c>
      <c r="F9" s="25"/>
      <c r="G9" s="25">
        <f t="shared" si="0"/>
        <v>4718.1099999999997</v>
      </c>
      <c r="H9" s="42">
        <v>24</v>
      </c>
      <c r="I9" s="15">
        <v>60</v>
      </c>
      <c r="J9" s="25"/>
      <c r="K9" s="25"/>
      <c r="L9" s="25">
        <v>290.45999999999998</v>
      </c>
      <c r="M9" s="25"/>
      <c r="N9" s="25">
        <f t="shared" si="1"/>
        <v>350.46</v>
      </c>
      <c r="P9" s="15"/>
      <c r="Q9" s="15"/>
      <c r="R9" s="15"/>
      <c r="S9" s="15"/>
      <c r="T9" s="15">
        <v>3000</v>
      </c>
      <c r="V9" s="25">
        <f t="shared" si="2"/>
        <v>8068.57</v>
      </c>
    </row>
    <row r="10" spans="1:28" x14ac:dyDescent="0.25">
      <c r="A10" s="32">
        <v>44682</v>
      </c>
      <c r="B10" s="15">
        <f>1786.8+3476.4</f>
        <v>5263.2</v>
      </c>
      <c r="C10" s="25">
        <f>759.63+933.73</f>
        <v>1693.3600000000001</v>
      </c>
      <c r="D10" s="25"/>
      <c r="E10" s="25">
        <f>1338.28+1598.51+578.83</f>
        <v>3515.62</v>
      </c>
      <c r="F10" s="25"/>
      <c r="G10" s="25">
        <f t="shared" si="0"/>
        <v>10472.18</v>
      </c>
      <c r="H10" s="42">
        <v>25</v>
      </c>
      <c r="I10" s="15">
        <v>369</v>
      </c>
      <c r="J10" s="25"/>
      <c r="K10" s="25"/>
      <c r="L10" s="25">
        <v>135.53</v>
      </c>
      <c r="M10" s="25"/>
      <c r="N10" s="25">
        <f t="shared" si="1"/>
        <v>504.53</v>
      </c>
      <c r="P10" s="15"/>
      <c r="Q10" s="15"/>
      <c r="R10" s="15"/>
      <c r="S10" s="15"/>
      <c r="T10" s="15">
        <v>3000</v>
      </c>
      <c r="V10" s="25">
        <f t="shared" si="2"/>
        <v>13976.710000000001</v>
      </c>
    </row>
    <row r="11" spans="1:28" x14ac:dyDescent="0.25">
      <c r="A11" s="32">
        <v>44713</v>
      </c>
      <c r="B11" s="15">
        <f>2736.4</f>
        <v>2736.4</v>
      </c>
      <c r="C11" s="25"/>
      <c r="D11" s="25"/>
      <c r="E11" s="25"/>
      <c r="F11" s="25"/>
      <c r="G11" s="25">
        <f t="shared" si="0"/>
        <v>2736.4</v>
      </c>
      <c r="H11" s="42">
        <v>26</v>
      </c>
      <c r="I11" s="15">
        <v>56</v>
      </c>
      <c r="J11" s="25">
        <v>142.26</v>
      </c>
      <c r="K11" s="25"/>
      <c r="L11" s="25"/>
      <c r="M11" s="25"/>
      <c r="N11" s="25">
        <f t="shared" si="1"/>
        <v>198.26</v>
      </c>
      <c r="P11" s="15"/>
      <c r="Q11" s="15"/>
      <c r="R11" s="15"/>
      <c r="S11" s="15"/>
      <c r="T11" s="15">
        <v>3000</v>
      </c>
      <c r="V11" s="25">
        <f t="shared" si="2"/>
        <v>5934.66</v>
      </c>
    </row>
    <row r="12" spans="1:28" x14ac:dyDescent="0.25">
      <c r="A12" s="32">
        <v>44743</v>
      </c>
      <c r="B12" s="15">
        <f>1964.08+3264.4+797.2</f>
        <v>6025.6799999999994</v>
      </c>
      <c r="C12" s="25">
        <f>980.84</f>
        <v>980.84</v>
      </c>
      <c r="D12" s="25"/>
      <c r="E12" s="25">
        <f>713.83+481.66</f>
        <v>1195.49</v>
      </c>
      <c r="F12" s="25"/>
      <c r="G12" s="25">
        <f t="shared" si="0"/>
        <v>8202.01</v>
      </c>
      <c r="H12" s="42">
        <v>27</v>
      </c>
      <c r="I12" s="15">
        <v>80</v>
      </c>
      <c r="J12" s="25"/>
      <c r="K12" s="25"/>
      <c r="L12" s="25">
        <v>1450.82</v>
      </c>
      <c r="M12" s="25"/>
      <c r="N12" s="25">
        <f t="shared" si="1"/>
        <v>1530.82</v>
      </c>
      <c r="P12" s="15"/>
      <c r="Q12" s="15"/>
      <c r="R12" s="15"/>
      <c r="S12" s="15"/>
      <c r="T12" s="15">
        <v>3000</v>
      </c>
      <c r="V12" s="25">
        <f t="shared" si="2"/>
        <v>12732.83</v>
      </c>
    </row>
    <row r="13" spans="1:28" x14ac:dyDescent="0.25">
      <c r="A13" s="32">
        <v>44774</v>
      </c>
      <c r="B13" s="15">
        <f>1586.4</f>
        <v>1586.4</v>
      </c>
      <c r="C13" s="25"/>
      <c r="D13" s="25"/>
      <c r="E13" s="25">
        <f>551.02</f>
        <v>551.02</v>
      </c>
      <c r="F13" s="25"/>
      <c r="G13" s="25">
        <f t="shared" si="0"/>
        <v>2137.42</v>
      </c>
      <c r="H13" s="42">
        <v>28</v>
      </c>
      <c r="I13" s="15">
        <v>100</v>
      </c>
      <c r="J13" s="25">
        <v>570.65</v>
      </c>
      <c r="K13" s="25"/>
      <c r="L13" s="25">
        <v>1743.65</v>
      </c>
      <c r="M13" s="25"/>
      <c r="N13" s="25">
        <f t="shared" si="1"/>
        <v>2414.3000000000002</v>
      </c>
      <c r="P13" s="15"/>
      <c r="Q13" s="15"/>
      <c r="R13" s="15"/>
      <c r="S13" s="15"/>
      <c r="T13" s="15">
        <v>3000</v>
      </c>
      <c r="V13" s="25">
        <f t="shared" si="2"/>
        <v>7551.72</v>
      </c>
    </row>
    <row r="14" spans="1:28" x14ac:dyDescent="0.25">
      <c r="A14" s="32">
        <v>44805</v>
      </c>
      <c r="B14" s="15">
        <f>2679.6</f>
        <v>2679.6</v>
      </c>
      <c r="C14" s="25">
        <f>1285.43+1261.08</f>
        <v>2546.5100000000002</v>
      </c>
      <c r="D14" s="25"/>
      <c r="E14" s="25">
        <f>600.08</f>
        <v>600.08000000000004</v>
      </c>
      <c r="F14" s="25"/>
      <c r="G14" s="25">
        <f t="shared" si="0"/>
        <v>5826.1900000000005</v>
      </c>
      <c r="H14" s="42">
        <v>29</v>
      </c>
      <c r="I14" s="15">
        <v>60</v>
      </c>
      <c r="J14" s="25"/>
      <c r="K14" s="25"/>
      <c r="L14" s="25">
        <v>795.74</v>
      </c>
      <c r="M14" s="25"/>
      <c r="N14" s="25">
        <f t="shared" si="1"/>
        <v>855.74</v>
      </c>
      <c r="P14" s="15"/>
      <c r="Q14" s="15"/>
      <c r="R14" s="15"/>
      <c r="S14" s="15"/>
      <c r="T14" s="15">
        <v>3000</v>
      </c>
      <c r="V14" s="25">
        <f t="shared" si="2"/>
        <v>9681.93</v>
      </c>
    </row>
    <row r="15" spans="1:28" x14ac:dyDescent="0.25">
      <c r="A15" s="32">
        <v>44835</v>
      </c>
      <c r="B15" s="15">
        <f>969.4+4511.07</f>
        <v>5480.4699999999993</v>
      </c>
      <c r="C15" s="25">
        <f>1583.66</f>
        <v>1583.66</v>
      </c>
      <c r="D15" s="25"/>
      <c r="E15" s="25">
        <f>298.08</f>
        <v>298.08</v>
      </c>
      <c r="F15" s="25"/>
      <c r="G15" s="25">
        <f t="shared" si="0"/>
        <v>7362.2099999999991</v>
      </c>
      <c r="H15" s="42">
        <v>30</v>
      </c>
      <c r="I15" s="15">
        <v>102</v>
      </c>
      <c r="J15" s="25">
        <v>262.16000000000003</v>
      </c>
      <c r="K15" s="25"/>
      <c r="L15" s="25">
        <v>79.61</v>
      </c>
      <c r="M15" s="25"/>
      <c r="N15" s="25">
        <f t="shared" si="1"/>
        <v>443.77000000000004</v>
      </c>
      <c r="P15" s="15"/>
      <c r="Q15" s="15"/>
      <c r="R15" s="15"/>
      <c r="S15" s="15"/>
      <c r="T15" s="15">
        <v>3000</v>
      </c>
      <c r="V15" s="25">
        <f t="shared" si="2"/>
        <v>10805.98</v>
      </c>
    </row>
    <row r="16" spans="1:28" x14ac:dyDescent="0.25">
      <c r="A16" s="32">
        <v>44866</v>
      </c>
      <c r="B16" s="15"/>
      <c r="C16" s="25">
        <f>795.31</f>
        <v>795.31</v>
      </c>
      <c r="D16" s="25"/>
      <c r="E16" s="25">
        <f>1083.89+706.36</f>
        <v>1790.25</v>
      </c>
      <c r="F16" s="25"/>
      <c r="G16" s="25">
        <f t="shared" si="0"/>
        <v>2585.56</v>
      </c>
      <c r="I16" s="15">
        <v>0</v>
      </c>
      <c r="J16" s="25"/>
      <c r="K16" s="25"/>
      <c r="L16" s="25"/>
      <c r="M16" s="25"/>
      <c r="N16" s="25">
        <f t="shared" si="1"/>
        <v>0</v>
      </c>
      <c r="P16" s="15"/>
      <c r="Q16" s="15"/>
      <c r="R16" s="15"/>
      <c r="S16" s="15"/>
      <c r="T16" s="15">
        <v>3000</v>
      </c>
      <c r="V16" s="25">
        <f t="shared" si="2"/>
        <v>5585.5599999999995</v>
      </c>
    </row>
    <row r="17" spans="1:25" x14ac:dyDescent="0.25">
      <c r="A17" s="32">
        <v>44896</v>
      </c>
      <c r="B17" s="15">
        <f>729.2+40.6+983.2+20.8</f>
        <v>1773.8</v>
      </c>
      <c r="C17" s="25"/>
      <c r="D17" s="25"/>
      <c r="E17" s="25"/>
      <c r="F17" s="25"/>
      <c r="G17" s="25">
        <f t="shared" si="0"/>
        <v>1773.8</v>
      </c>
      <c r="H17" s="42">
        <v>31</v>
      </c>
      <c r="I17" s="15">
        <v>60</v>
      </c>
      <c r="J17" s="25"/>
      <c r="K17" s="25"/>
      <c r="L17" s="25">
        <v>506.88</v>
      </c>
      <c r="M17" s="25"/>
      <c r="N17" s="25">
        <f t="shared" si="1"/>
        <v>566.88</v>
      </c>
      <c r="P17" s="15"/>
      <c r="Q17" s="15"/>
      <c r="R17" s="15"/>
      <c r="S17" s="15"/>
      <c r="T17" s="15">
        <v>3000</v>
      </c>
      <c r="V17" s="25">
        <f t="shared" si="2"/>
        <v>5340.68</v>
      </c>
    </row>
    <row r="18" spans="1:25" x14ac:dyDescent="0.25">
      <c r="A18" s="32">
        <v>44927</v>
      </c>
      <c r="B18" s="15">
        <v>1338.4</v>
      </c>
      <c r="C18" s="15">
        <v>369.51</v>
      </c>
      <c r="D18" s="15"/>
      <c r="E18" s="15">
        <f>14.74+114.59</f>
        <v>129.33000000000001</v>
      </c>
      <c r="F18" s="27"/>
      <c r="G18" s="25">
        <f>SUM(B18:F18)</f>
        <v>1837.24</v>
      </c>
      <c r="H18" s="42">
        <v>32</v>
      </c>
      <c r="I18" s="15">
        <v>1123.4000000000001</v>
      </c>
      <c r="J18" s="15">
        <v>334.48</v>
      </c>
      <c r="K18" s="15">
        <v>43.75</v>
      </c>
      <c r="L18" s="15">
        <v>30.7</v>
      </c>
      <c r="M18" s="27"/>
      <c r="N18" s="25">
        <f t="shared" si="1"/>
        <v>1532.3300000000002</v>
      </c>
      <c r="P18" s="15"/>
      <c r="Q18" s="15"/>
      <c r="R18" s="15"/>
      <c r="S18" s="15"/>
      <c r="T18" s="15">
        <v>3000</v>
      </c>
      <c r="V18" s="25">
        <f t="shared" si="2"/>
        <v>6369.57</v>
      </c>
    </row>
    <row r="19" spans="1:25" x14ac:dyDescent="0.25">
      <c r="A19" s="32">
        <v>44958</v>
      </c>
      <c r="B19" s="15">
        <v>11.2</v>
      </c>
      <c r="C19" s="15">
        <f>1114.95+334.48</f>
        <v>1449.43</v>
      </c>
      <c r="D19" s="15"/>
      <c r="E19" s="15">
        <f>1063.62+1099.97</f>
        <v>2163.59</v>
      </c>
      <c r="F19" s="27"/>
      <c r="G19" s="25">
        <f t="shared" ref="G19:G33" si="3">SUM(B19:F19)</f>
        <v>3624.2200000000003</v>
      </c>
      <c r="H19" s="42">
        <v>33</v>
      </c>
      <c r="I19" s="15">
        <v>60</v>
      </c>
      <c r="J19" s="15">
        <v>1504.23</v>
      </c>
      <c r="K19" s="15"/>
      <c r="L19" s="15">
        <v>210.57</v>
      </c>
      <c r="M19" s="27"/>
      <c r="N19" s="25">
        <f t="shared" si="1"/>
        <v>1774.8</v>
      </c>
      <c r="P19" s="15"/>
      <c r="Q19" s="15"/>
      <c r="R19" s="15"/>
      <c r="S19" s="15"/>
      <c r="T19" s="15">
        <v>3000</v>
      </c>
      <c r="V19" s="25">
        <f t="shared" si="2"/>
        <v>8399.02</v>
      </c>
    </row>
    <row r="20" spans="1:25" x14ac:dyDescent="0.25">
      <c r="A20" s="32">
        <v>44986</v>
      </c>
      <c r="B20" s="15">
        <v>6742.1499999999987</v>
      </c>
      <c r="C20" s="15"/>
      <c r="D20" s="15"/>
      <c r="E20" s="15">
        <f>491.3</f>
        <v>491.3</v>
      </c>
      <c r="F20" s="27"/>
      <c r="G20" s="25">
        <f t="shared" si="3"/>
        <v>7233.4499999999989</v>
      </c>
      <c r="H20" s="42">
        <v>34</v>
      </c>
      <c r="I20" s="15">
        <v>40</v>
      </c>
      <c r="J20" s="15">
        <v>700.34</v>
      </c>
      <c r="K20" s="15"/>
      <c r="L20" s="15">
        <v>798</v>
      </c>
      <c r="M20" s="27"/>
      <c r="N20" s="25">
        <f t="shared" si="1"/>
        <v>1538.3400000000001</v>
      </c>
      <c r="P20" s="15"/>
      <c r="Q20" s="15"/>
      <c r="R20" s="15"/>
      <c r="S20" s="15"/>
      <c r="T20" s="15">
        <v>3000</v>
      </c>
      <c r="V20" s="25">
        <f t="shared" si="2"/>
        <v>11771.789999999999</v>
      </c>
    </row>
    <row r="21" spans="1:25" x14ac:dyDescent="0.25">
      <c r="A21" s="32">
        <v>45017</v>
      </c>
      <c r="B21" s="15"/>
      <c r="C21" s="15">
        <f>677.39+2563.78</f>
        <v>3241.17</v>
      </c>
      <c r="D21" s="15"/>
      <c r="E21" s="15">
        <v>279.35000000000002</v>
      </c>
      <c r="F21" s="27"/>
      <c r="G21" s="25">
        <f t="shared" si="3"/>
        <v>3520.52</v>
      </c>
      <c r="H21" s="42">
        <v>35</v>
      </c>
      <c r="I21" s="15">
        <v>880.2</v>
      </c>
      <c r="J21" s="15">
        <v>594.5</v>
      </c>
      <c r="K21" s="15"/>
      <c r="L21" s="15">
        <v>1687.93</v>
      </c>
      <c r="M21" s="27"/>
      <c r="N21" s="25">
        <f t="shared" si="1"/>
        <v>3162.63</v>
      </c>
      <c r="P21" s="15"/>
      <c r="Q21" s="15"/>
      <c r="R21" s="15"/>
      <c r="S21" s="15"/>
      <c r="T21" s="15">
        <v>3000</v>
      </c>
      <c r="V21" s="25">
        <f t="shared" si="2"/>
        <v>9683.15</v>
      </c>
    </row>
    <row r="22" spans="1:25" x14ac:dyDescent="0.25">
      <c r="A22" s="32">
        <v>45047</v>
      </c>
      <c r="B22" s="15">
        <f>1881.06+712.8</f>
        <v>2593.8599999999997</v>
      </c>
      <c r="C22" s="15">
        <f>4318+108.11</f>
        <v>4426.1099999999997</v>
      </c>
      <c r="D22" s="15">
        <f>95.8+60</f>
        <v>155.80000000000001</v>
      </c>
      <c r="E22" s="15">
        <v>305.82</v>
      </c>
      <c r="F22" s="27"/>
      <c r="G22" s="25">
        <f t="shared" si="3"/>
        <v>7481.5899999999992</v>
      </c>
      <c r="H22" s="42">
        <v>36</v>
      </c>
      <c r="I22" s="15">
        <v>1716</v>
      </c>
      <c r="J22" s="15">
        <v>2251.25</v>
      </c>
      <c r="K22" s="15">
        <v>171.83</v>
      </c>
      <c r="L22" s="15">
        <v>1137.68</v>
      </c>
      <c r="M22" s="27"/>
      <c r="N22" s="25">
        <f t="shared" ref="N22:N33" si="4">SUM(I22:M22)</f>
        <v>5276.76</v>
      </c>
      <c r="P22" s="15"/>
      <c r="Q22" s="15"/>
      <c r="R22" s="15"/>
      <c r="S22" s="15"/>
      <c r="T22" s="15">
        <v>3000</v>
      </c>
      <c r="V22" s="25">
        <f t="shared" si="2"/>
        <v>15758.349999999999</v>
      </c>
    </row>
    <row r="23" spans="1:25" x14ac:dyDescent="0.25">
      <c r="A23" s="32">
        <v>45078</v>
      </c>
      <c r="B23" s="15">
        <v>638.21</v>
      </c>
      <c r="C23" s="15"/>
      <c r="D23" s="15"/>
      <c r="E23" s="15"/>
      <c r="F23" s="27"/>
      <c r="G23" s="25">
        <f t="shared" si="3"/>
        <v>638.21</v>
      </c>
      <c r="I23" s="15"/>
      <c r="J23" s="15"/>
      <c r="K23" s="15"/>
      <c r="L23" s="15"/>
      <c r="M23" s="27"/>
      <c r="N23" s="25">
        <f t="shared" si="4"/>
        <v>0</v>
      </c>
      <c r="P23" s="15"/>
      <c r="Q23" s="15"/>
      <c r="R23" s="15"/>
      <c r="S23" s="15"/>
      <c r="T23" s="15">
        <v>3000</v>
      </c>
      <c r="V23" s="25">
        <f t="shared" si="2"/>
        <v>3638.21</v>
      </c>
    </row>
    <row r="24" spans="1:25" x14ac:dyDescent="0.25">
      <c r="A24" s="32">
        <v>45108</v>
      </c>
      <c r="B24" s="15">
        <v>1846</v>
      </c>
      <c r="C24" s="15">
        <v>2814.65</v>
      </c>
      <c r="D24" s="15"/>
      <c r="E24" s="15">
        <v>502.33</v>
      </c>
      <c r="F24" s="27"/>
      <c r="G24" s="25">
        <f t="shared" si="3"/>
        <v>5162.9799999999996</v>
      </c>
      <c r="H24" s="42">
        <v>37</v>
      </c>
      <c r="I24" s="15">
        <f>1186.4+60</f>
        <v>1246.4000000000001</v>
      </c>
      <c r="J24" s="15">
        <f>395.94+395.94</f>
        <v>791.88</v>
      </c>
      <c r="K24" s="15"/>
      <c r="L24" s="15">
        <f>603.24</f>
        <v>603.24</v>
      </c>
      <c r="M24" s="27"/>
      <c r="N24" s="25">
        <f t="shared" si="4"/>
        <v>2641.5200000000004</v>
      </c>
      <c r="P24" s="15"/>
      <c r="Q24" s="15"/>
      <c r="R24" s="15"/>
      <c r="S24" s="15"/>
      <c r="T24" s="15">
        <v>3000</v>
      </c>
      <c r="V24" s="25">
        <f t="shared" si="2"/>
        <v>10804.5</v>
      </c>
    </row>
    <row r="25" spans="1:25" x14ac:dyDescent="0.25">
      <c r="A25" s="32">
        <v>45139</v>
      </c>
      <c r="B25" s="15">
        <f>177+1848.4</f>
        <v>2025.4</v>
      </c>
      <c r="C25" s="15">
        <f>679.39</f>
        <v>679.39</v>
      </c>
      <c r="D25" s="15"/>
      <c r="E25" s="15">
        <v>708.94</v>
      </c>
      <c r="F25" s="27"/>
      <c r="G25" s="25">
        <f t="shared" si="3"/>
        <v>3413.73</v>
      </c>
      <c r="H25" s="42">
        <v>38</v>
      </c>
      <c r="I25" s="15">
        <v>1106.4000000000001</v>
      </c>
      <c r="J25" s="15">
        <v>589.39</v>
      </c>
      <c r="K25" s="15"/>
      <c r="L25" s="15"/>
      <c r="M25" s="27"/>
      <c r="N25" s="25">
        <f t="shared" si="4"/>
        <v>1695.79</v>
      </c>
      <c r="P25" s="15"/>
      <c r="Q25" s="15"/>
      <c r="R25" s="15"/>
      <c r="S25" s="15"/>
      <c r="T25" s="15">
        <v>3000</v>
      </c>
      <c r="V25" s="25">
        <f t="shared" si="2"/>
        <v>8109.52</v>
      </c>
    </row>
    <row r="26" spans="1:25" x14ac:dyDescent="0.25">
      <c r="A26" s="32">
        <v>45170</v>
      </c>
      <c r="B26" s="15"/>
      <c r="C26" s="15"/>
      <c r="D26" s="15"/>
      <c r="E26" s="15">
        <v>612.53</v>
      </c>
      <c r="F26" s="27"/>
      <c r="G26" s="25">
        <f t="shared" si="3"/>
        <v>612.53</v>
      </c>
      <c r="H26" s="42">
        <v>39</v>
      </c>
      <c r="I26" s="15"/>
      <c r="J26" s="15">
        <v>1268.99</v>
      </c>
      <c r="K26" s="15"/>
      <c r="L26" s="15"/>
      <c r="M26" s="27"/>
      <c r="N26" s="25">
        <f t="shared" si="4"/>
        <v>1268.99</v>
      </c>
      <c r="P26" s="15"/>
      <c r="Q26" s="15"/>
      <c r="R26" s="15"/>
      <c r="S26" s="15"/>
      <c r="T26" s="15">
        <v>3000</v>
      </c>
      <c r="V26" s="25">
        <f t="shared" ref="V26:V33" si="5">G26+N26+T26</f>
        <v>4881.5200000000004</v>
      </c>
    </row>
    <row r="27" spans="1:25" x14ac:dyDescent="0.25">
      <c r="A27" s="32">
        <v>45200</v>
      </c>
      <c r="B27" s="15">
        <f>1848.4+847</f>
        <v>2695.4</v>
      </c>
      <c r="C27" s="15">
        <f>679.39+290.26</f>
        <v>969.65</v>
      </c>
      <c r="D27" s="15">
        <v>122.92</v>
      </c>
      <c r="E27" s="15">
        <v>873.15</v>
      </c>
      <c r="F27" s="27"/>
      <c r="G27" s="25">
        <f t="shared" si="3"/>
        <v>4661.12</v>
      </c>
      <c r="H27" s="42">
        <v>40</v>
      </c>
      <c r="I27" s="15">
        <v>2362.1999999999998</v>
      </c>
      <c r="J27" s="15">
        <f>2435.3-501.72</f>
        <v>1933.5800000000002</v>
      </c>
      <c r="K27" s="15">
        <v>42.11</v>
      </c>
      <c r="L27" s="15">
        <v>1210.47</v>
      </c>
      <c r="M27" s="27"/>
      <c r="N27" s="25">
        <f t="shared" si="4"/>
        <v>5548.36</v>
      </c>
      <c r="P27" s="15"/>
      <c r="Q27" s="15"/>
      <c r="R27" s="15"/>
      <c r="S27" s="15"/>
      <c r="T27" s="15">
        <v>3000</v>
      </c>
      <c r="V27" s="25">
        <f t="shared" si="5"/>
        <v>13209.48</v>
      </c>
    </row>
    <row r="28" spans="1:25" x14ac:dyDescent="0.25">
      <c r="A28" s="32">
        <v>45231</v>
      </c>
      <c r="B28" s="15">
        <v>0</v>
      </c>
      <c r="C28" s="15">
        <v>0</v>
      </c>
      <c r="D28" s="15">
        <v>0</v>
      </c>
      <c r="E28" s="15">
        <v>0</v>
      </c>
      <c r="F28" s="27"/>
      <c r="G28" s="25">
        <f t="shared" si="3"/>
        <v>0</v>
      </c>
      <c r="H28" s="42"/>
      <c r="I28" s="15">
        <v>0</v>
      </c>
      <c r="J28" s="15">
        <v>0</v>
      </c>
      <c r="K28" s="15">
        <v>0</v>
      </c>
      <c r="L28" s="15">
        <v>0</v>
      </c>
      <c r="M28" s="27"/>
      <c r="N28" s="25">
        <f t="shared" si="4"/>
        <v>0</v>
      </c>
      <c r="P28" s="15"/>
      <c r="Q28" s="15"/>
      <c r="R28" s="15"/>
      <c r="S28" s="15"/>
      <c r="T28" s="15">
        <v>3000</v>
      </c>
      <c r="V28" s="25">
        <f t="shared" si="5"/>
        <v>3000</v>
      </c>
    </row>
    <row r="29" spans="1:25" x14ac:dyDescent="0.25">
      <c r="A29" s="32">
        <v>45261</v>
      </c>
      <c r="B29" s="15">
        <v>1296.4000000000001</v>
      </c>
      <c r="C29" s="15"/>
      <c r="D29" s="15"/>
      <c r="E29" s="15">
        <f>578.29+84.43</f>
        <v>662.72</v>
      </c>
      <c r="F29" s="27"/>
      <c r="G29" s="25">
        <f t="shared" si="3"/>
        <v>1959.1200000000001</v>
      </c>
      <c r="H29" s="42">
        <v>41</v>
      </c>
      <c r="I29" s="15">
        <v>40</v>
      </c>
      <c r="J29" s="15">
        <v>1205.77</v>
      </c>
      <c r="K29" s="15"/>
      <c r="L29" s="15"/>
      <c r="M29" s="27"/>
      <c r="N29" s="25">
        <f t="shared" si="4"/>
        <v>1245.77</v>
      </c>
      <c r="P29" s="15"/>
      <c r="Q29" s="15"/>
      <c r="R29" s="15"/>
      <c r="S29" s="15"/>
      <c r="T29" s="15">
        <v>3000</v>
      </c>
      <c r="V29" s="25">
        <f t="shared" si="5"/>
        <v>6204.89</v>
      </c>
    </row>
    <row r="30" spans="1:25" x14ac:dyDescent="0.25">
      <c r="A30" s="32">
        <v>45292</v>
      </c>
      <c r="B30" s="15">
        <v>0</v>
      </c>
      <c r="C30" s="15">
        <v>0</v>
      </c>
      <c r="D30" s="15">
        <v>0</v>
      </c>
      <c r="E30" s="15">
        <v>0</v>
      </c>
      <c r="F30" s="27"/>
      <c r="G30" s="25">
        <f t="shared" si="3"/>
        <v>0</v>
      </c>
      <c r="H30" s="42"/>
      <c r="I30" s="15">
        <v>0</v>
      </c>
      <c r="J30" s="15">
        <v>0</v>
      </c>
      <c r="K30" s="15">
        <v>0</v>
      </c>
      <c r="L30" s="15">
        <v>0</v>
      </c>
      <c r="M30" s="27"/>
      <c r="N30" s="25">
        <f t="shared" si="4"/>
        <v>0</v>
      </c>
      <c r="P30" s="15"/>
      <c r="Q30" s="15"/>
      <c r="R30" s="15"/>
      <c r="S30" s="15"/>
      <c r="T30" s="15">
        <v>3000</v>
      </c>
      <c r="V30" s="25">
        <f t="shared" si="5"/>
        <v>3000</v>
      </c>
    </row>
    <row r="31" spans="1:25" x14ac:dyDescent="0.25">
      <c r="A31" s="32">
        <v>45323</v>
      </c>
      <c r="B31" s="15"/>
      <c r="C31" s="15"/>
      <c r="D31" s="15"/>
      <c r="E31" s="15"/>
      <c r="F31" s="27"/>
      <c r="G31" s="25">
        <f t="shared" si="3"/>
        <v>0</v>
      </c>
      <c r="H31" s="42"/>
      <c r="I31" s="15"/>
      <c r="J31" s="15"/>
      <c r="K31" s="15"/>
      <c r="L31" s="15"/>
      <c r="M31" s="27"/>
      <c r="N31" s="25">
        <f t="shared" si="4"/>
        <v>0</v>
      </c>
      <c r="P31" s="15"/>
      <c r="Q31" s="15"/>
      <c r="R31" s="15"/>
      <c r="S31" s="15"/>
      <c r="T31" s="15">
        <v>3000</v>
      </c>
      <c r="V31" s="25">
        <f t="shared" si="5"/>
        <v>3000</v>
      </c>
      <c r="X31" s="3"/>
      <c r="Y31" s="3"/>
    </row>
    <row r="32" spans="1:25" x14ac:dyDescent="0.25">
      <c r="A32" s="32">
        <v>45352</v>
      </c>
      <c r="B32" s="15"/>
      <c r="C32" s="15">
        <v>132</v>
      </c>
      <c r="D32" s="15">
        <v>1077.2</v>
      </c>
      <c r="E32" s="15">
        <v>29.22</v>
      </c>
      <c r="F32" s="27"/>
      <c r="G32" s="25">
        <f t="shared" si="3"/>
        <v>1238.42</v>
      </c>
      <c r="H32" s="42">
        <v>42</v>
      </c>
      <c r="I32" s="15">
        <v>657.19</v>
      </c>
      <c r="J32" s="15"/>
      <c r="K32" s="15"/>
      <c r="L32" s="15"/>
      <c r="M32" s="27"/>
      <c r="N32" s="25">
        <f t="shared" si="4"/>
        <v>657.19</v>
      </c>
      <c r="P32" s="15"/>
      <c r="Q32" s="15"/>
      <c r="R32" s="15"/>
      <c r="S32" s="15"/>
      <c r="T32" s="15">
        <v>3000</v>
      </c>
      <c r="V32" s="25">
        <f t="shared" si="5"/>
        <v>4895.6100000000006</v>
      </c>
      <c r="X32" s="3"/>
      <c r="Y32" s="3"/>
    </row>
    <row r="33" spans="1:30" x14ac:dyDescent="0.25">
      <c r="A33" s="32">
        <v>45383</v>
      </c>
      <c r="B33" s="15">
        <f>967.94+12924</f>
        <v>13891.94</v>
      </c>
      <c r="C33" s="15">
        <f>130.85+1678.19</f>
        <v>1809.04</v>
      </c>
      <c r="D33" s="15"/>
      <c r="E33" s="15">
        <v>342.35</v>
      </c>
      <c r="F33" s="27"/>
      <c r="G33" s="25">
        <f t="shared" si="3"/>
        <v>16043.33</v>
      </c>
      <c r="H33" s="42"/>
      <c r="I33" s="15">
        <v>1102.8499999999999</v>
      </c>
      <c r="J33" s="15"/>
      <c r="K33" s="15">
        <v>143</v>
      </c>
      <c r="L33" s="15">
        <v>712.51</v>
      </c>
      <c r="M33" s="27"/>
      <c r="N33" s="25">
        <f t="shared" si="4"/>
        <v>1958.36</v>
      </c>
      <c r="P33" s="15"/>
      <c r="Q33" s="15"/>
      <c r="R33" s="15"/>
      <c r="S33" s="15"/>
      <c r="T33" s="15">
        <v>3000</v>
      </c>
      <c r="V33" s="25">
        <f t="shared" si="5"/>
        <v>21001.69</v>
      </c>
      <c r="X33" s="3"/>
      <c r="Y33" s="3"/>
    </row>
    <row r="34" spans="1:30" x14ac:dyDescent="0.25">
      <c r="A34" s="32"/>
      <c r="B34" s="15"/>
      <c r="C34" s="15"/>
      <c r="D34" s="15"/>
      <c r="E34" s="15"/>
      <c r="F34" s="27"/>
      <c r="G34" s="25"/>
      <c r="H34" s="42"/>
      <c r="I34" s="15"/>
      <c r="J34" s="15"/>
      <c r="K34" s="15"/>
      <c r="L34" s="15"/>
      <c r="M34" s="27"/>
      <c r="N34" s="25"/>
      <c r="P34" s="15"/>
      <c r="Q34" s="15"/>
      <c r="R34" s="15"/>
      <c r="S34" s="15"/>
      <c r="T34" s="15"/>
      <c r="V34" s="25"/>
      <c r="X34" s="3"/>
      <c r="Y34" s="3"/>
    </row>
    <row r="35" spans="1:30" x14ac:dyDescent="0.25">
      <c r="A35" s="32"/>
      <c r="B35" s="15"/>
      <c r="C35" s="15"/>
      <c r="D35" s="15"/>
      <c r="E35" s="15"/>
      <c r="F35" s="27"/>
      <c r="G35" s="25"/>
      <c r="H35" s="42"/>
      <c r="I35" s="15"/>
      <c r="J35" s="15"/>
      <c r="K35" s="15"/>
      <c r="L35" s="15"/>
      <c r="M35" s="27"/>
      <c r="N35" s="25"/>
      <c r="P35" s="15"/>
      <c r="Q35" s="15"/>
      <c r="R35" s="15"/>
      <c r="S35" s="15"/>
      <c r="T35" s="15"/>
      <c r="V35" s="25"/>
      <c r="X35" s="3"/>
      <c r="Y35" s="3">
        <v>10000</v>
      </c>
      <c r="Z35" s="3">
        <v>10000</v>
      </c>
      <c r="AA35" s="3">
        <v>10000</v>
      </c>
    </row>
    <row r="36" spans="1:30" x14ac:dyDescent="0.25">
      <c r="P36" s="15"/>
      <c r="Q36" s="15"/>
      <c r="R36" s="15"/>
      <c r="S36" s="15"/>
      <c r="T36" s="15"/>
    </row>
    <row r="37" spans="1:30" x14ac:dyDescent="0.25">
      <c r="A37" t="s">
        <v>142</v>
      </c>
      <c r="B37" s="26">
        <f>SUM(B6:B36)</f>
        <v>68897.310000000012</v>
      </c>
      <c r="C37" s="26">
        <f>SUM(C6:C36)</f>
        <v>25542.49</v>
      </c>
      <c r="D37" s="26">
        <f>SUM(D6:D36)</f>
        <v>1395.92</v>
      </c>
      <c r="E37" s="26">
        <f>SUM(E6:E36)</f>
        <v>17059.5</v>
      </c>
      <c r="F37" s="25"/>
      <c r="G37" s="26">
        <f>SUM(G6:G36)</f>
        <v>112895.21999999999</v>
      </c>
      <c r="I37" s="26">
        <f>SUM(I6:I36)</f>
        <v>14011.64</v>
      </c>
      <c r="J37" s="26">
        <f>SUM(J6:J36)</f>
        <v>12432.220000000001</v>
      </c>
      <c r="K37" s="26">
        <f>SUM(K6:K36)</f>
        <v>400.69</v>
      </c>
      <c r="L37" s="26">
        <f>SUM(L6:L36)</f>
        <v>11408.189999999999</v>
      </c>
      <c r="M37" s="25"/>
      <c r="N37" s="26">
        <f>SUM(N6:N36)</f>
        <v>38252.740000000005</v>
      </c>
      <c r="P37" s="19">
        <f t="shared" ref="P37:T37" si="6">SUM(P6:P36)</f>
        <v>0</v>
      </c>
      <c r="Q37" s="19">
        <f t="shared" si="6"/>
        <v>0</v>
      </c>
      <c r="R37" s="19">
        <f t="shared" si="6"/>
        <v>0</v>
      </c>
      <c r="S37" s="19">
        <f t="shared" si="6"/>
        <v>0</v>
      </c>
      <c r="T37" s="19">
        <f t="shared" si="6"/>
        <v>84000</v>
      </c>
      <c r="V37" s="26">
        <f>SUM(V6:V36)</f>
        <v>235147.96000000002</v>
      </c>
      <c r="X37" s="4">
        <f t="shared" ref="X37:AB37" si="7">SUM(X5:X36)</f>
        <v>0</v>
      </c>
      <c r="Y37" s="4">
        <f t="shared" si="7"/>
        <v>10000</v>
      </c>
      <c r="Z37" s="4">
        <f t="shared" si="7"/>
        <v>10000</v>
      </c>
      <c r="AA37" s="4">
        <f t="shared" si="7"/>
        <v>10000</v>
      </c>
      <c r="AB37" s="4">
        <f t="shared" si="7"/>
        <v>0</v>
      </c>
      <c r="AD37" s="25">
        <f>SUM(V37:AC37)</f>
        <v>265147.96000000002</v>
      </c>
    </row>
    <row r="39" spans="1:30" x14ac:dyDescent="0.25">
      <c r="B39" t="s">
        <v>196</v>
      </c>
      <c r="I39" t="s">
        <v>250</v>
      </c>
      <c r="P39" t="s">
        <v>228</v>
      </c>
    </row>
    <row r="40" spans="1:30" x14ac:dyDescent="0.25">
      <c r="B40" t="s">
        <v>197</v>
      </c>
      <c r="D40" s="25"/>
      <c r="I40" t="s">
        <v>249</v>
      </c>
      <c r="P40" t="s">
        <v>229</v>
      </c>
    </row>
    <row r="41" spans="1:30" x14ac:dyDescent="0.25">
      <c r="D41" s="25"/>
    </row>
    <row r="42" spans="1:30" x14ac:dyDescent="0.25">
      <c r="D42" s="25"/>
    </row>
    <row r="43" spans="1:30" x14ac:dyDescent="0.25">
      <c r="D43" s="25"/>
    </row>
    <row r="44" spans="1:30" x14ac:dyDescent="0.25">
      <c r="D44" s="25"/>
    </row>
  </sheetData>
  <mergeCells count="3">
    <mergeCell ref="B4:G4"/>
    <mergeCell ref="I4:N4"/>
    <mergeCell ref="P4:T4"/>
  </mergeCells>
  <phoneticPr fontId="9" type="noConversion"/>
  <pageMargins left="0.37" right="0.27" top="0.75" bottom="0.75" header="0.3" footer="0.3"/>
  <pageSetup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C1698-A2A5-45B9-86C7-CDC35DF27257}">
  <sheetPr>
    <tabColor rgb="FFFF0000"/>
  </sheetPr>
  <dimension ref="A1:D37"/>
  <sheetViews>
    <sheetView topLeftCell="A13" workbookViewId="0">
      <selection activeCell="D34" sqref="D34"/>
    </sheetView>
  </sheetViews>
  <sheetFormatPr defaultRowHeight="15" x14ac:dyDescent="0.25"/>
  <cols>
    <col min="2" max="2" width="28" customWidth="1"/>
    <col min="3" max="3" width="22.140625" bestFit="1" customWidth="1"/>
    <col min="4" max="4" width="14" style="15" customWidth="1"/>
    <col min="6" max="6" width="13.28515625" bestFit="1" customWidth="1"/>
  </cols>
  <sheetData>
    <row r="1" spans="1:4" x14ac:dyDescent="0.25">
      <c r="A1" t="s">
        <v>63</v>
      </c>
    </row>
    <row r="3" spans="1:4" s="1" customFormat="1" ht="12.75" x14ac:dyDescent="0.2">
      <c r="B3" s="1" t="s">
        <v>26</v>
      </c>
      <c r="C3" s="1" t="s">
        <v>36</v>
      </c>
      <c r="D3" s="9" t="s">
        <v>27</v>
      </c>
    </row>
    <row r="4" spans="1:4" x14ac:dyDescent="0.25">
      <c r="B4" t="s">
        <v>66</v>
      </c>
      <c r="C4" t="s">
        <v>64</v>
      </c>
      <c r="D4" s="15">
        <v>10000</v>
      </c>
    </row>
    <row r="5" spans="1:4" x14ac:dyDescent="0.25">
      <c r="B5" t="s">
        <v>66</v>
      </c>
      <c r="C5" t="s">
        <v>64</v>
      </c>
      <c r="D5" s="15">
        <v>140000</v>
      </c>
    </row>
    <row r="6" spans="1:4" x14ac:dyDescent="0.25">
      <c r="B6" t="s">
        <v>66</v>
      </c>
      <c r="C6" t="s">
        <v>64</v>
      </c>
      <c r="D6" s="15">
        <v>100000</v>
      </c>
    </row>
    <row r="7" spans="1:4" x14ac:dyDescent="0.25">
      <c r="B7" t="s">
        <v>66</v>
      </c>
      <c r="C7" t="s">
        <v>64</v>
      </c>
      <c r="D7" s="15">
        <v>300000</v>
      </c>
    </row>
    <row r="9" spans="1:4" x14ac:dyDescent="0.25">
      <c r="D9" s="19">
        <f>SUM(D4:D8)</f>
        <v>550000</v>
      </c>
    </row>
    <row r="11" spans="1:4" x14ac:dyDescent="0.25">
      <c r="B11" t="s">
        <v>66</v>
      </c>
      <c r="C11" t="s">
        <v>65</v>
      </c>
      <c r="D11" s="15">
        <v>998554.89</v>
      </c>
    </row>
    <row r="12" spans="1:4" x14ac:dyDescent="0.25">
      <c r="C12" t="s">
        <v>128</v>
      </c>
      <c r="D12" s="15">
        <v>4000000</v>
      </c>
    </row>
    <row r="14" spans="1:4" x14ac:dyDescent="0.25">
      <c r="A14" s="42">
        <v>1</v>
      </c>
      <c r="D14" s="19">
        <f>SUM(D9:D13)</f>
        <v>5548554.8900000006</v>
      </c>
    </row>
    <row r="16" spans="1:4" x14ac:dyDescent="0.25">
      <c r="B16" s="39" t="s">
        <v>55</v>
      </c>
    </row>
    <row r="17" spans="1:4" x14ac:dyDescent="0.25">
      <c r="A17" s="42">
        <v>2</v>
      </c>
      <c r="B17" t="s">
        <v>11</v>
      </c>
      <c r="C17" t="s">
        <v>67</v>
      </c>
      <c r="D17" s="15">
        <v>12800</v>
      </c>
    </row>
    <row r="18" spans="1:4" x14ac:dyDescent="0.25">
      <c r="A18" s="42">
        <v>3</v>
      </c>
      <c r="B18" s="8" t="s">
        <v>68</v>
      </c>
      <c r="C18" t="s">
        <v>69</v>
      </c>
      <c r="D18" s="15">
        <v>3910</v>
      </c>
    </row>
    <row r="19" spans="1:4" x14ac:dyDescent="0.25">
      <c r="A19" s="42">
        <v>4</v>
      </c>
      <c r="B19" s="8" t="s">
        <v>70</v>
      </c>
      <c r="C19" t="s">
        <v>71</v>
      </c>
      <c r="D19" s="15">
        <v>226.31</v>
      </c>
    </row>
    <row r="20" spans="1:4" x14ac:dyDescent="0.25">
      <c r="A20" s="42">
        <v>5</v>
      </c>
      <c r="B20" s="8" t="s">
        <v>72</v>
      </c>
      <c r="C20" t="s">
        <v>73</v>
      </c>
      <c r="D20" s="15">
        <v>1828.1</v>
      </c>
    </row>
    <row r="21" spans="1:4" x14ac:dyDescent="0.25">
      <c r="A21" s="42">
        <v>6</v>
      </c>
      <c r="B21" s="8" t="s">
        <v>70</v>
      </c>
      <c r="C21" t="s">
        <v>74</v>
      </c>
      <c r="D21" s="15">
        <v>1270.0899999999999</v>
      </c>
    </row>
    <row r="22" spans="1:4" x14ac:dyDescent="0.25">
      <c r="A22" s="42">
        <v>7</v>
      </c>
      <c r="B22" s="8" t="s">
        <v>75</v>
      </c>
      <c r="C22" t="s">
        <v>76</v>
      </c>
      <c r="D22" s="15">
        <v>250</v>
      </c>
    </row>
    <row r="23" spans="1:4" x14ac:dyDescent="0.25">
      <c r="A23" s="42">
        <v>8</v>
      </c>
      <c r="B23" s="8" t="s">
        <v>77</v>
      </c>
      <c r="C23" t="s">
        <v>78</v>
      </c>
      <c r="D23" s="15">
        <v>686.94</v>
      </c>
    </row>
    <row r="24" spans="1:4" x14ac:dyDescent="0.25">
      <c r="A24" s="42">
        <v>9</v>
      </c>
      <c r="B24" s="8" t="s">
        <v>79</v>
      </c>
      <c r="C24" t="s">
        <v>80</v>
      </c>
      <c r="D24" s="15">
        <v>1060</v>
      </c>
    </row>
    <row r="25" spans="1:4" x14ac:dyDescent="0.25">
      <c r="A25" s="42">
        <v>10</v>
      </c>
      <c r="B25" s="8" t="s">
        <v>81</v>
      </c>
      <c r="C25" t="s">
        <v>82</v>
      </c>
      <c r="D25" s="15">
        <v>256.8</v>
      </c>
    </row>
    <row r="26" spans="1:4" x14ac:dyDescent="0.25">
      <c r="A26" s="42">
        <v>11</v>
      </c>
      <c r="B26" s="8" t="s">
        <v>79</v>
      </c>
      <c r="C26" t="s">
        <v>80</v>
      </c>
      <c r="D26" s="15">
        <v>1240</v>
      </c>
    </row>
    <row r="27" spans="1:4" x14ac:dyDescent="0.25">
      <c r="A27" s="42">
        <v>12</v>
      </c>
      <c r="B27" s="8" t="s">
        <v>14</v>
      </c>
      <c r="C27" t="s">
        <v>83</v>
      </c>
      <c r="D27" s="15">
        <v>3000</v>
      </c>
    </row>
    <row r="28" spans="1:4" x14ac:dyDescent="0.25">
      <c r="A28" s="42">
        <v>13</v>
      </c>
      <c r="B28" s="8" t="s">
        <v>79</v>
      </c>
      <c r="C28" t="s">
        <v>84</v>
      </c>
      <c r="D28" s="15">
        <v>1007.5</v>
      </c>
    </row>
    <row r="30" spans="1:4" x14ac:dyDescent="0.25">
      <c r="D30" s="19">
        <f>SUM(D17:D29)</f>
        <v>27535.739999999998</v>
      </c>
    </row>
    <row r="32" spans="1:4" x14ac:dyDescent="0.25">
      <c r="C32" t="s">
        <v>222</v>
      </c>
      <c r="D32" s="27">
        <f>D14+D30</f>
        <v>5576090.6300000008</v>
      </c>
    </row>
    <row r="34" spans="3:4" x14ac:dyDescent="0.25">
      <c r="C34" t="s">
        <v>223</v>
      </c>
      <c r="D34" s="51" cm="1">
        <f t="array" ref="D34">LOOKUP(2,1/('15. STAR Payoff'!4:4&lt;&gt;""),'15. STAR Payoff'!4:4)</f>
        <v>3551315</v>
      </c>
    </row>
    <row r="36" spans="3:4" ht="15.75" thickBot="1" x14ac:dyDescent="0.3">
      <c r="C36" t="s">
        <v>224</v>
      </c>
      <c r="D36" s="20">
        <f>D32-D34</f>
        <v>2024775.6300000008</v>
      </c>
    </row>
    <row r="37" spans="3:4" ht="15.75" thickTop="1" x14ac:dyDescent="0.25"/>
  </sheetData>
  <pageMargins left="0.7" right="0.7" top="0.75" bottom="0.37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3320F-0211-489F-B02A-6F0013F643E5}">
  <sheetPr>
    <tabColor rgb="FFFF0000"/>
    <pageSetUpPr fitToPage="1"/>
  </sheetPr>
  <dimension ref="A1:N48"/>
  <sheetViews>
    <sheetView workbookViewId="0">
      <pane ySplit="3" topLeftCell="A25" activePane="bottomLeft" state="frozen"/>
      <selection activeCell="I77" sqref="I77"/>
      <selection pane="bottomLeft" activeCell="E40" sqref="E40"/>
    </sheetView>
  </sheetViews>
  <sheetFormatPr defaultRowHeight="15" x14ac:dyDescent="0.25"/>
  <cols>
    <col min="2" max="2" width="37.140625" customWidth="1"/>
    <col min="3" max="3" width="31.28515625" customWidth="1"/>
    <col min="4" max="4" width="18.42578125" style="8" customWidth="1"/>
    <col min="5" max="5" width="14.85546875" customWidth="1"/>
    <col min="6" max="6" width="4.7109375" customWidth="1"/>
    <col min="7" max="9" width="12.7109375" bestFit="1" customWidth="1"/>
    <col min="10" max="10" width="11.5703125" bestFit="1" customWidth="1"/>
    <col min="11" max="12" width="12.7109375" bestFit="1" customWidth="1"/>
    <col min="14" max="14" width="11.5703125" bestFit="1" customWidth="1"/>
  </cols>
  <sheetData>
    <row r="1" spans="1:12" x14ac:dyDescent="0.25">
      <c r="A1" t="s">
        <v>10</v>
      </c>
    </row>
    <row r="3" spans="1:12" s="1" customFormat="1" ht="12.75" x14ac:dyDescent="0.2">
      <c r="B3" s="1" t="s">
        <v>26</v>
      </c>
      <c r="C3" s="1" t="s">
        <v>36</v>
      </c>
      <c r="D3" s="21" t="s">
        <v>56</v>
      </c>
      <c r="E3" s="1" t="s">
        <v>27</v>
      </c>
      <c r="G3" s="33">
        <v>45352</v>
      </c>
      <c r="H3" s="33">
        <v>45383</v>
      </c>
      <c r="I3" s="33">
        <v>45413</v>
      </c>
      <c r="J3" s="33">
        <v>45444</v>
      </c>
      <c r="K3" s="33">
        <v>45474</v>
      </c>
      <c r="L3" s="33">
        <v>45505</v>
      </c>
    </row>
    <row r="4" spans="1:12" x14ac:dyDescent="0.25">
      <c r="A4" s="41">
        <v>1</v>
      </c>
      <c r="B4" s="29" t="s">
        <v>19</v>
      </c>
      <c r="C4" s="29" t="s">
        <v>119</v>
      </c>
      <c r="D4" s="167">
        <v>44649</v>
      </c>
      <c r="E4" s="168">
        <v>11892.22</v>
      </c>
    </row>
    <row r="5" spans="1:12" x14ac:dyDescent="0.25">
      <c r="A5" s="42">
        <v>2</v>
      </c>
      <c r="B5" s="29" t="s">
        <v>20</v>
      </c>
      <c r="C5" s="29" t="s">
        <v>98</v>
      </c>
      <c r="D5" s="167">
        <v>44669</v>
      </c>
      <c r="E5" s="168">
        <v>38764</v>
      </c>
    </row>
    <row r="6" spans="1:12" x14ac:dyDescent="0.25">
      <c r="A6" s="42">
        <v>3</v>
      </c>
      <c r="B6" s="29" t="s">
        <v>18</v>
      </c>
      <c r="C6" s="29" t="s">
        <v>86</v>
      </c>
      <c r="D6" s="167">
        <v>44357</v>
      </c>
      <c r="E6" s="168">
        <v>3184.75</v>
      </c>
    </row>
    <row r="7" spans="1:12" x14ac:dyDescent="0.25">
      <c r="A7" s="42">
        <v>4</v>
      </c>
      <c r="B7" s="29" t="s">
        <v>18</v>
      </c>
      <c r="C7" s="29" t="s">
        <v>86</v>
      </c>
      <c r="D7" s="167">
        <v>44497</v>
      </c>
      <c r="E7" s="168">
        <v>3184.75</v>
      </c>
    </row>
    <row r="8" spans="1:12" x14ac:dyDescent="0.25">
      <c r="A8" s="42">
        <v>5</v>
      </c>
      <c r="B8" s="29" t="s">
        <v>21</v>
      </c>
      <c r="C8" s="29" t="s">
        <v>88</v>
      </c>
      <c r="D8" s="167">
        <v>44449</v>
      </c>
      <c r="E8" s="168">
        <v>5000</v>
      </c>
    </row>
    <row r="9" spans="1:12" x14ac:dyDescent="0.25">
      <c r="A9" s="42">
        <v>6</v>
      </c>
      <c r="B9" s="29" t="s">
        <v>21</v>
      </c>
      <c r="C9" s="29" t="s">
        <v>88</v>
      </c>
      <c r="D9" s="167">
        <v>44834</v>
      </c>
      <c r="E9" s="168">
        <v>15400</v>
      </c>
    </row>
    <row r="10" spans="1:12" x14ac:dyDescent="0.25">
      <c r="A10" s="42">
        <v>7</v>
      </c>
      <c r="B10" s="29" t="s">
        <v>21</v>
      </c>
      <c r="C10" s="29" t="s">
        <v>123</v>
      </c>
      <c r="D10" s="8">
        <v>44846</v>
      </c>
      <c r="E10" s="168">
        <v>800</v>
      </c>
    </row>
    <row r="11" spans="1:12" x14ac:dyDescent="0.25">
      <c r="A11" s="42">
        <v>8</v>
      </c>
      <c r="B11" s="29" t="s">
        <v>21</v>
      </c>
      <c r="C11" s="29" t="s">
        <v>89</v>
      </c>
      <c r="D11" s="167">
        <v>44585</v>
      </c>
      <c r="E11" s="168">
        <v>5800</v>
      </c>
    </row>
    <row r="12" spans="1:12" x14ac:dyDescent="0.25">
      <c r="A12" s="42">
        <v>9</v>
      </c>
      <c r="B12" s="29" t="s">
        <v>24</v>
      </c>
      <c r="C12" s="29" t="s">
        <v>120</v>
      </c>
      <c r="D12" s="167">
        <v>44585</v>
      </c>
      <c r="E12" s="168">
        <v>65000</v>
      </c>
    </row>
    <row r="13" spans="1:12" x14ac:dyDescent="0.25">
      <c r="A13" s="42">
        <v>10</v>
      </c>
      <c r="B13" s="29" t="s">
        <v>91</v>
      </c>
      <c r="C13" s="29" t="s">
        <v>90</v>
      </c>
      <c r="D13" s="167">
        <v>44620</v>
      </c>
      <c r="E13" s="168">
        <v>1570.21</v>
      </c>
    </row>
    <row r="14" spans="1:12" x14ac:dyDescent="0.25">
      <c r="A14" s="42">
        <v>11</v>
      </c>
      <c r="B14" s="29" t="s">
        <v>92</v>
      </c>
      <c r="C14" s="29" t="s">
        <v>90</v>
      </c>
      <c r="D14" s="167">
        <v>44641</v>
      </c>
      <c r="E14" s="168">
        <v>1570.21</v>
      </c>
    </row>
    <row r="15" spans="1:12" x14ac:dyDescent="0.25">
      <c r="A15" s="42">
        <v>12</v>
      </c>
      <c r="B15" s="29" t="s">
        <v>13</v>
      </c>
      <c r="C15" s="29" t="s">
        <v>93</v>
      </c>
      <c r="D15" s="167">
        <v>44635</v>
      </c>
      <c r="E15" s="168">
        <v>36350</v>
      </c>
    </row>
    <row r="16" spans="1:12" x14ac:dyDescent="0.25">
      <c r="A16" s="42">
        <v>13</v>
      </c>
      <c r="B16" s="29" t="s">
        <v>13</v>
      </c>
      <c r="C16" s="29" t="s">
        <v>93</v>
      </c>
      <c r="D16" s="167">
        <v>44773</v>
      </c>
      <c r="E16" s="168">
        <v>36350</v>
      </c>
    </row>
    <row r="17" spans="1:12" x14ac:dyDescent="0.25">
      <c r="A17" s="42">
        <v>14</v>
      </c>
      <c r="B17" s="29" t="s">
        <v>94</v>
      </c>
      <c r="C17" s="29" t="s">
        <v>95</v>
      </c>
      <c r="D17" s="167">
        <v>44651</v>
      </c>
      <c r="E17" s="168">
        <v>1415.24</v>
      </c>
    </row>
    <row r="18" spans="1:12" x14ac:dyDescent="0.25">
      <c r="A18" s="42">
        <v>15</v>
      </c>
      <c r="B18" s="29" t="s">
        <v>22</v>
      </c>
      <c r="C18" s="29" t="s">
        <v>95</v>
      </c>
      <c r="D18" s="167">
        <v>44700</v>
      </c>
      <c r="E18" s="168">
        <v>5393.81</v>
      </c>
    </row>
    <row r="19" spans="1:12" x14ac:dyDescent="0.25">
      <c r="A19" s="42">
        <v>16</v>
      </c>
      <c r="B19" s="29" t="s">
        <v>103</v>
      </c>
      <c r="C19" s="29" t="s">
        <v>105</v>
      </c>
      <c r="D19" s="8">
        <v>44773</v>
      </c>
      <c r="E19" s="168">
        <v>13992.39</v>
      </c>
    </row>
    <row r="20" spans="1:12" x14ac:dyDescent="0.25">
      <c r="A20" s="42">
        <v>17</v>
      </c>
      <c r="B20" s="29" t="s">
        <v>16</v>
      </c>
      <c r="C20" s="29" t="s">
        <v>126</v>
      </c>
      <c r="D20" s="167">
        <v>44417</v>
      </c>
      <c r="E20" s="168">
        <v>11950</v>
      </c>
    </row>
    <row r="21" spans="1:12" x14ac:dyDescent="0.25">
      <c r="A21" s="42">
        <v>18</v>
      </c>
      <c r="B21" s="29" t="s">
        <v>16</v>
      </c>
      <c r="C21" s="29" t="s">
        <v>126</v>
      </c>
      <c r="D21" s="167">
        <v>44439</v>
      </c>
      <c r="E21" s="168">
        <v>3080</v>
      </c>
    </row>
    <row r="22" spans="1:12" x14ac:dyDescent="0.25">
      <c r="A22" s="42">
        <v>19</v>
      </c>
      <c r="B22" s="29" t="s">
        <v>16</v>
      </c>
      <c r="C22" s="29" t="s">
        <v>126</v>
      </c>
      <c r="D22" s="167">
        <v>44489</v>
      </c>
      <c r="E22" s="168">
        <v>1075</v>
      </c>
    </row>
    <row r="23" spans="1:12" x14ac:dyDescent="0.25">
      <c r="A23" s="42">
        <v>20</v>
      </c>
      <c r="B23" s="29" t="s">
        <v>16</v>
      </c>
      <c r="C23" s="29" t="s">
        <v>126</v>
      </c>
      <c r="D23" s="167">
        <v>44596</v>
      </c>
      <c r="E23" s="168">
        <v>9390.94</v>
      </c>
    </row>
    <row r="24" spans="1:12" x14ac:dyDescent="0.25">
      <c r="A24" s="42">
        <v>21</v>
      </c>
      <c r="B24" s="29" t="s">
        <v>16</v>
      </c>
      <c r="C24" s="29" t="s">
        <v>126</v>
      </c>
      <c r="D24" s="167">
        <v>44592</v>
      </c>
      <c r="E24" s="168">
        <v>2650</v>
      </c>
    </row>
    <row r="25" spans="1:12" x14ac:dyDescent="0.25">
      <c r="A25" s="42">
        <v>22</v>
      </c>
      <c r="B25" s="29" t="s">
        <v>21</v>
      </c>
      <c r="C25" s="29" t="s">
        <v>126</v>
      </c>
      <c r="D25" s="167">
        <v>44481</v>
      </c>
      <c r="E25" s="168">
        <v>400</v>
      </c>
    </row>
    <row r="26" spans="1:12" x14ac:dyDescent="0.25">
      <c r="A26" s="42">
        <v>23</v>
      </c>
      <c r="B26" s="29" t="s">
        <v>21</v>
      </c>
      <c r="C26" s="29" t="s">
        <v>126</v>
      </c>
      <c r="D26" s="167">
        <v>44601</v>
      </c>
      <c r="E26" s="168">
        <v>8650</v>
      </c>
    </row>
    <row r="27" spans="1:12" x14ac:dyDescent="0.25">
      <c r="A27" s="42">
        <v>24</v>
      </c>
      <c r="B27" s="29" t="s">
        <v>21</v>
      </c>
      <c r="C27" s="29" t="s">
        <v>126</v>
      </c>
      <c r="D27" s="167">
        <v>44613</v>
      </c>
      <c r="E27" s="168">
        <v>450</v>
      </c>
      <c r="G27" s="15"/>
      <c r="H27" s="15"/>
      <c r="I27" s="15"/>
      <c r="J27" s="15"/>
      <c r="K27" s="15"/>
      <c r="L27" s="15"/>
    </row>
    <row r="28" spans="1:12" x14ac:dyDescent="0.25">
      <c r="A28" s="42">
        <v>25</v>
      </c>
      <c r="B28" s="29" t="s">
        <v>21</v>
      </c>
      <c r="C28" s="29" t="s">
        <v>126</v>
      </c>
      <c r="D28" s="167">
        <v>44670</v>
      </c>
      <c r="E28" s="168">
        <v>900</v>
      </c>
      <c r="G28" s="15"/>
      <c r="H28" s="15"/>
      <c r="I28" s="15"/>
      <c r="J28" s="15"/>
      <c r="K28" s="15"/>
      <c r="L28" s="15"/>
    </row>
    <row r="29" spans="1:12" x14ac:dyDescent="0.25">
      <c r="A29" s="42">
        <v>26</v>
      </c>
      <c r="B29" s="29" t="s">
        <v>21</v>
      </c>
      <c r="C29" s="29" t="s">
        <v>127</v>
      </c>
      <c r="D29" s="167">
        <v>44693</v>
      </c>
      <c r="E29" s="168">
        <v>750</v>
      </c>
      <c r="G29" s="15"/>
      <c r="H29" s="15"/>
      <c r="I29" s="15"/>
      <c r="J29" s="15"/>
      <c r="K29" s="15"/>
      <c r="L29" s="15"/>
    </row>
    <row r="30" spans="1:12" x14ac:dyDescent="0.25">
      <c r="A30" s="42">
        <v>27</v>
      </c>
      <c r="B30" s="29" t="s">
        <v>21</v>
      </c>
      <c r="C30" t="s">
        <v>204</v>
      </c>
      <c r="D30" s="8">
        <v>45124</v>
      </c>
      <c r="E30" s="168">
        <v>65000</v>
      </c>
      <c r="G30" s="15"/>
      <c r="H30" s="15"/>
      <c r="I30" s="15"/>
      <c r="J30" s="15"/>
      <c r="K30" s="15"/>
      <c r="L30" s="15"/>
    </row>
    <row r="31" spans="1:12" x14ac:dyDescent="0.25">
      <c r="A31" s="42">
        <v>28</v>
      </c>
      <c r="B31" s="29" t="s">
        <v>226</v>
      </c>
      <c r="C31" t="s">
        <v>205</v>
      </c>
      <c r="D31" s="8">
        <v>45120</v>
      </c>
      <c r="E31" s="168">
        <v>5309</v>
      </c>
      <c r="G31" s="15"/>
      <c r="H31" s="15"/>
      <c r="I31" s="15"/>
      <c r="J31" s="15"/>
      <c r="K31" s="15"/>
      <c r="L31" s="15"/>
    </row>
    <row r="32" spans="1:12" x14ac:dyDescent="0.25">
      <c r="A32" s="42">
        <v>29</v>
      </c>
      <c r="B32" s="29" t="s">
        <v>241</v>
      </c>
      <c r="C32" t="s">
        <v>235</v>
      </c>
      <c r="D32" s="8">
        <v>45153</v>
      </c>
      <c r="E32" s="168">
        <v>5237.4399999999996</v>
      </c>
      <c r="G32" s="15"/>
      <c r="H32" s="15"/>
      <c r="I32" s="15"/>
      <c r="J32" s="15"/>
      <c r="K32" s="15"/>
      <c r="L32" s="15"/>
    </row>
    <row r="33" spans="1:14" x14ac:dyDescent="0.25">
      <c r="A33" s="42">
        <v>30</v>
      </c>
      <c r="B33" s="29" t="s">
        <v>242</v>
      </c>
      <c r="C33" s="37" t="s">
        <v>206</v>
      </c>
      <c r="D33" s="8">
        <v>45183</v>
      </c>
      <c r="E33" s="168">
        <v>3000</v>
      </c>
      <c r="G33" s="15"/>
      <c r="H33" s="15"/>
      <c r="I33" s="15"/>
      <c r="J33" s="15"/>
      <c r="K33" s="15"/>
      <c r="L33" s="15"/>
    </row>
    <row r="34" spans="1:14" x14ac:dyDescent="0.25">
      <c r="A34" s="42">
        <v>31</v>
      </c>
      <c r="B34" s="29" t="s">
        <v>247</v>
      </c>
      <c r="C34" t="s">
        <v>435</v>
      </c>
      <c r="D34" s="8">
        <v>45219</v>
      </c>
      <c r="E34" s="168">
        <v>26684</v>
      </c>
      <c r="G34" s="15"/>
      <c r="H34" s="15"/>
      <c r="I34" s="15"/>
      <c r="J34" s="15"/>
      <c r="K34" s="15"/>
      <c r="L34" s="15"/>
    </row>
    <row r="35" spans="1:14" x14ac:dyDescent="0.25">
      <c r="A35" s="42">
        <v>31</v>
      </c>
      <c r="B35" s="29" t="s">
        <v>247</v>
      </c>
      <c r="C35" t="s">
        <v>436</v>
      </c>
      <c r="D35" s="8">
        <v>45219</v>
      </c>
      <c r="E35" s="168">
        <v>26684</v>
      </c>
      <c r="G35" s="15"/>
      <c r="H35" s="15"/>
      <c r="I35" s="15"/>
      <c r="J35" s="15"/>
      <c r="K35" s="15"/>
      <c r="L35" s="15"/>
    </row>
    <row r="36" spans="1:14" x14ac:dyDescent="0.25">
      <c r="A36" s="42">
        <v>32</v>
      </c>
      <c r="B36" s="29" t="s">
        <v>247</v>
      </c>
      <c r="C36" t="s">
        <v>243</v>
      </c>
      <c r="D36" s="8">
        <v>45273</v>
      </c>
      <c r="E36" s="168">
        <v>26684</v>
      </c>
      <c r="G36" s="15"/>
      <c r="H36" s="15"/>
      <c r="I36" s="15"/>
      <c r="J36" s="15"/>
      <c r="K36" s="15"/>
      <c r="L36" s="15"/>
    </row>
    <row r="37" spans="1:14" x14ac:dyDescent="0.25">
      <c r="A37" s="42">
        <v>33</v>
      </c>
      <c r="B37" s="29" t="s">
        <v>252</v>
      </c>
      <c r="C37" t="s">
        <v>406</v>
      </c>
      <c r="D37" s="8">
        <v>45358</v>
      </c>
      <c r="E37" s="168">
        <v>2675</v>
      </c>
      <c r="G37" s="15"/>
      <c r="H37" s="15"/>
      <c r="I37" s="15"/>
      <c r="J37" s="15"/>
      <c r="K37" s="15"/>
      <c r="L37" s="15"/>
    </row>
    <row r="38" spans="1:14" x14ac:dyDescent="0.25">
      <c r="A38" s="42">
        <v>34</v>
      </c>
      <c r="B38" s="29" t="s">
        <v>531</v>
      </c>
      <c r="C38" t="s">
        <v>406</v>
      </c>
      <c r="D38" s="8">
        <v>45392</v>
      </c>
      <c r="E38" s="168">
        <v>637.46</v>
      </c>
      <c r="G38" s="15"/>
      <c r="H38" s="15"/>
      <c r="I38" s="15"/>
      <c r="J38" s="15"/>
      <c r="K38" s="15"/>
      <c r="L38" s="15"/>
    </row>
    <row r="39" spans="1:14" x14ac:dyDescent="0.25">
      <c r="A39" s="42">
        <v>35</v>
      </c>
      <c r="B39" s="29" t="s">
        <v>405</v>
      </c>
      <c r="C39" t="s">
        <v>406</v>
      </c>
      <c r="D39" s="8">
        <v>45392</v>
      </c>
      <c r="E39" s="168">
        <v>22294.799999999999</v>
      </c>
      <c r="G39" s="15"/>
      <c r="H39" s="15"/>
      <c r="I39" s="15"/>
      <c r="J39" s="15"/>
      <c r="K39" s="15"/>
      <c r="L39" s="15"/>
    </row>
    <row r="40" spans="1:14" x14ac:dyDescent="0.25">
      <c r="A40" s="42">
        <v>36</v>
      </c>
      <c r="B40" s="29" t="s">
        <v>405</v>
      </c>
      <c r="C40" t="s">
        <v>406</v>
      </c>
      <c r="D40" s="8">
        <v>45406</v>
      </c>
      <c r="E40" s="168">
        <v>16200</v>
      </c>
      <c r="G40" s="15"/>
      <c r="H40" s="15"/>
      <c r="I40" s="15">
        <f>4777.2+4500</f>
        <v>9277.2000000000007</v>
      </c>
      <c r="J40" s="15"/>
      <c r="K40" s="15"/>
      <c r="L40" s="15"/>
    </row>
    <row r="41" spans="1:14" x14ac:dyDescent="0.25">
      <c r="B41" s="29" t="s">
        <v>247</v>
      </c>
      <c r="C41" t="s">
        <v>437</v>
      </c>
      <c r="E41" s="168"/>
      <c r="G41" s="15"/>
      <c r="H41" s="15"/>
      <c r="I41" s="15">
        <v>28551.88</v>
      </c>
      <c r="J41" s="15"/>
      <c r="K41" s="15"/>
      <c r="L41" s="15"/>
    </row>
    <row r="42" spans="1:14" x14ac:dyDescent="0.25">
      <c r="B42" s="29" t="s">
        <v>251</v>
      </c>
      <c r="C42" t="s">
        <v>407</v>
      </c>
      <c r="E42" s="168"/>
      <c r="G42" s="15"/>
      <c r="H42" s="15"/>
      <c r="I42" s="15">
        <v>12000</v>
      </c>
      <c r="J42" s="15"/>
      <c r="K42" s="15"/>
      <c r="L42" s="15"/>
    </row>
    <row r="43" spans="1:14" x14ac:dyDescent="0.25">
      <c r="B43" s="29" t="s">
        <v>532</v>
      </c>
      <c r="C43" t="s">
        <v>408</v>
      </c>
      <c r="E43" s="168"/>
      <c r="G43" s="15"/>
      <c r="H43" s="15"/>
      <c r="I43" s="15"/>
      <c r="J43" s="15">
        <v>25000</v>
      </c>
      <c r="K43" s="15"/>
      <c r="L43" s="15">
        <v>125000</v>
      </c>
    </row>
    <row r="44" spans="1:14" s="37" customFormat="1" x14ac:dyDescent="0.25">
      <c r="B44" s="207" t="s">
        <v>534</v>
      </c>
      <c r="C44" s="207" t="s">
        <v>406</v>
      </c>
      <c r="D44" s="208"/>
      <c r="E44" s="209"/>
      <c r="G44" s="206"/>
      <c r="H44" s="206"/>
      <c r="I44" s="206"/>
      <c r="J44" s="206"/>
      <c r="K44" s="206"/>
      <c r="L44" s="206">
        <v>11545</v>
      </c>
    </row>
    <row r="45" spans="1:14" x14ac:dyDescent="0.25">
      <c r="G45" s="15"/>
      <c r="H45" s="15"/>
      <c r="I45" s="15"/>
      <c r="J45" s="15"/>
      <c r="K45" s="15"/>
      <c r="L45" s="15"/>
    </row>
    <row r="46" spans="1:14" x14ac:dyDescent="0.25">
      <c r="G46" s="15"/>
      <c r="H46" s="15"/>
      <c r="I46" s="15"/>
      <c r="J46" s="15"/>
      <c r="K46" s="15"/>
      <c r="L46" s="15"/>
    </row>
    <row r="47" spans="1:14" ht="15.75" thickBot="1" x14ac:dyDescent="0.3">
      <c r="E47" s="12">
        <f>SUM(E4:E46)</f>
        <v>485369.22</v>
      </c>
      <c r="G47" s="16">
        <f t="shared" ref="G47:L47" si="0">SUM(G4:G46)</f>
        <v>0</v>
      </c>
      <c r="H47" s="16">
        <f t="shared" si="0"/>
        <v>0</v>
      </c>
      <c r="I47" s="16">
        <f t="shared" si="0"/>
        <v>49829.08</v>
      </c>
      <c r="J47" s="16">
        <f t="shared" si="0"/>
        <v>25000</v>
      </c>
      <c r="K47" s="16">
        <f t="shared" si="0"/>
        <v>0</v>
      </c>
      <c r="L47" s="16">
        <f t="shared" si="0"/>
        <v>136545</v>
      </c>
      <c r="N47" s="25">
        <f>SUM(E47:M47)</f>
        <v>696743.29999999993</v>
      </c>
    </row>
    <row r="48" spans="1:14" ht="15.75" thickTop="1" x14ac:dyDescent="0.25"/>
  </sheetData>
  <pageMargins left="0.4" right="0.2" top="0.38" bottom="0.3" header="0.22" footer="0.17"/>
  <pageSetup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916E-8066-4267-B356-58FB3AA1FB5E}">
  <sheetPr>
    <tabColor rgb="FFFF0000"/>
    <pageSetUpPr fitToPage="1"/>
  </sheetPr>
  <dimension ref="A1:M56"/>
  <sheetViews>
    <sheetView workbookViewId="0">
      <pane ySplit="3" topLeftCell="A32" activePane="bottomLeft" state="frozen"/>
      <selection activeCell="I77" sqref="I77"/>
      <selection pane="bottomLeft" activeCell="K52" sqref="K52"/>
    </sheetView>
  </sheetViews>
  <sheetFormatPr defaultRowHeight="15.75" x14ac:dyDescent="0.25"/>
  <cols>
    <col min="2" max="3" width="32.5703125" customWidth="1"/>
    <col min="4" max="4" width="18.85546875" style="46" customWidth="1"/>
    <col min="5" max="5" width="14.5703125" style="47" bestFit="1" customWidth="1"/>
    <col min="6" max="6" width="5.42578125" style="47" customWidth="1"/>
    <col min="7" max="7" width="10.42578125" bestFit="1" customWidth="1"/>
    <col min="8" max="8" width="10.140625" customWidth="1"/>
    <col min="9" max="9" width="11.5703125" bestFit="1" customWidth="1"/>
    <col min="11" max="11" width="10.5703125" bestFit="1" customWidth="1"/>
    <col min="13" max="13" width="13.28515625" bestFit="1" customWidth="1"/>
  </cols>
  <sheetData>
    <row r="1" spans="1:11" x14ac:dyDescent="0.25">
      <c r="A1" t="s">
        <v>547</v>
      </c>
    </row>
    <row r="3" spans="1:11" s="1" customFormat="1" ht="12.75" x14ac:dyDescent="0.2">
      <c r="B3" s="1" t="s">
        <v>26</v>
      </c>
      <c r="C3" s="1" t="s">
        <v>36</v>
      </c>
      <c r="D3" s="21" t="s">
        <v>56</v>
      </c>
      <c r="E3" s="1" t="s">
        <v>27</v>
      </c>
      <c r="G3" s="33">
        <v>45383</v>
      </c>
      <c r="H3" s="33">
        <v>45413</v>
      </c>
      <c r="I3" s="33">
        <v>45444</v>
      </c>
      <c r="J3" s="33">
        <v>45474</v>
      </c>
      <c r="K3" s="33">
        <v>45505</v>
      </c>
    </row>
    <row r="4" spans="1:11" ht="15" x14ac:dyDescent="0.25">
      <c r="A4" s="44">
        <v>1</v>
      </c>
      <c r="B4" s="29" t="s">
        <v>168</v>
      </c>
      <c r="C4" s="29" t="s">
        <v>169</v>
      </c>
      <c r="D4" s="167">
        <v>44553</v>
      </c>
      <c r="E4" s="168">
        <v>35994</v>
      </c>
      <c r="F4"/>
      <c r="G4" s="15"/>
      <c r="H4" s="15"/>
      <c r="I4" s="15"/>
    </row>
    <row r="5" spans="1:11" ht="15" x14ac:dyDescent="0.25">
      <c r="A5" s="44">
        <v>2</v>
      </c>
      <c r="B5" s="29" t="s">
        <v>13</v>
      </c>
      <c r="C5" s="29" t="s">
        <v>121</v>
      </c>
      <c r="D5" s="167">
        <v>44601</v>
      </c>
      <c r="E5" s="168">
        <v>8957</v>
      </c>
      <c r="F5"/>
      <c r="G5" s="15"/>
      <c r="H5" s="15"/>
      <c r="I5" s="15"/>
    </row>
    <row r="6" spans="1:11" ht="15" x14ac:dyDescent="0.25">
      <c r="A6" s="44">
        <v>3</v>
      </c>
      <c r="B6" s="29" t="s">
        <v>13</v>
      </c>
      <c r="C6" s="29" t="s">
        <v>181</v>
      </c>
      <c r="D6" s="167">
        <v>44594</v>
      </c>
      <c r="E6" s="168">
        <v>2958</v>
      </c>
      <c r="F6"/>
      <c r="G6" s="15"/>
      <c r="H6" s="15"/>
      <c r="I6" s="15"/>
    </row>
    <row r="7" spans="1:11" ht="15" x14ac:dyDescent="0.25">
      <c r="A7" s="44">
        <v>4</v>
      </c>
      <c r="B7" s="29" t="s">
        <v>18</v>
      </c>
      <c r="C7" s="29" t="s">
        <v>87</v>
      </c>
      <c r="D7" s="167">
        <v>44483</v>
      </c>
      <c r="E7" s="168">
        <v>6154</v>
      </c>
      <c r="F7"/>
      <c r="G7" s="15"/>
      <c r="H7" s="15"/>
      <c r="I7" s="15"/>
    </row>
    <row r="8" spans="1:11" ht="15" x14ac:dyDescent="0.25">
      <c r="A8" s="44">
        <v>5</v>
      </c>
      <c r="B8" s="29" t="s">
        <v>18</v>
      </c>
      <c r="C8" s="29" t="s">
        <v>115</v>
      </c>
      <c r="D8" s="167">
        <v>44706</v>
      </c>
      <c r="E8" s="168">
        <v>6206</v>
      </c>
      <c r="F8"/>
      <c r="G8" s="15"/>
      <c r="H8" s="15"/>
      <c r="I8" s="15"/>
    </row>
    <row r="9" spans="1:11" ht="15" x14ac:dyDescent="0.25">
      <c r="A9" s="44">
        <v>6</v>
      </c>
      <c r="B9" s="29" t="s">
        <v>23</v>
      </c>
      <c r="C9" s="29" t="s">
        <v>112</v>
      </c>
      <c r="D9" s="167">
        <v>44700</v>
      </c>
      <c r="E9" s="168">
        <v>3500</v>
      </c>
      <c r="F9"/>
      <c r="G9" s="15"/>
      <c r="H9" s="15"/>
      <c r="I9" s="15"/>
    </row>
    <row r="10" spans="1:11" ht="15" x14ac:dyDescent="0.25">
      <c r="A10" s="44">
        <v>7</v>
      </c>
      <c r="B10" s="29" t="s">
        <v>25</v>
      </c>
      <c r="C10" s="29" t="s">
        <v>107</v>
      </c>
      <c r="D10" s="167">
        <v>44602</v>
      </c>
      <c r="E10" s="168">
        <v>7439</v>
      </c>
      <c r="F10"/>
      <c r="G10" s="15"/>
      <c r="H10" s="15"/>
      <c r="I10" s="15"/>
    </row>
    <row r="11" spans="1:11" ht="15" x14ac:dyDescent="0.25">
      <c r="A11" s="44">
        <v>8</v>
      </c>
      <c r="B11" s="29" t="s">
        <v>25</v>
      </c>
      <c r="C11" s="29" t="s">
        <v>108</v>
      </c>
      <c r="D11" s="167">
        <v>44614</v>
      </c>
      <c r="E11" s="168">
        <v>8481</v>
      </c>
      <c r="F11"/>
      <c r="G11" s="15"/>
      <c r="H11" s="15"/>
      <c r="I11" s="15"/>
    </row>
    <row r="12" spans="1:11" ht="15" x14ac:dyDescent="0.25">
      <c r="A12" s="44">
        <v>9</v>
      </c>
      <c r="B12" s="29" t="s">
        <v>17</v>
      </c>
      <c r="C12" s="29" t="s">
        <v>109</v>
      </c>
      <c r="D12" s="167">
        <v>44652</v>
      </c>
      <c r="E12" s="168">
        <v>6204</v>
      </c>
      <c r="F12"/>
      <c r="G12" s="15"/>
      <c r="H12" s="15"/>
      <c r="I12" s="15"/>
    </row>
    <row r="13" spans="1:11" ht="15" x14ac:dyDescent="0.25">
      <c r="A13" s="44">
        <v>10</v>
      </c>
      <c r="B13" s="29" t="s">
        <v>182</v>
      </c>
      <c r="C13" s="29" t="s">
        <v>110</v>
      </c>
      <c r="D13" s="167">
        <v>44652</v>
      </c>
      <c r="E13" s="168">
        <v>1229</v>
      </c>
      <c r="F13"/>
      <c r="G13" s="15"/>
      <c r="H13" s="15"/>
      <c r="I13" s="15"/>
    </row>
    <row r="14" spans="1:11" ht="15" x14ac:dyDescent="0.25">
      <c r="A14" s="44">
        <v>11</v>
      </c>
      <c r="B14" s="29" t="s">
        <v>28</v>
      </c>
      <c r="C14" s="29" t="s">
        <v>96</v>
      </c>
      <c r="D14" s="167">
        <v>44662</v>
      </c>
      <c r="E14" s="168">
        <v>19100</v>
      </c>
      <c r="F14"/>
      <c r="G14" s="15"/>
      <c r="H14" s="15"/>
      <c r="I14" s="15"/>
    </row>
    <row r="15" spans="1:11" ht="15" x14ac:dyDescent="0.25">
      <c r="A15" s="44">
        <v>12</v>
      </c>
      <c r="B15" s="29" t="s">
        <v>28</v>
      </c>
      <c r="C15" s="29" t="s">
        <v>97</v>
      </c>
      <c r="D15" s="167">
        <v>44705</v>
      </c>
      <c r="E15" s="168">
        <v>11770</v>
      </c>
      <c r="F15"/>
      <c r="G15" s="15"/>
      <c r="H15" s="15"/>
      <c r="I15" s="15"/>
    </row>
    <row r="16" spans="1:11" ht="15" x14ac:dyDescent="0.25">
      <c r="A16" s="44">
        <v>13</v>
      </c>
      <c r="B16" s="29" t="s">
        <v>17</v>
      </c>
      <c r="C16" s="29" t="s">
        <v>111</v>
      </c>
      <c r="D16" s="167">
        <v>44679</v>
      </c>
      <c r="E16" s="168">
        <v>97381</v>
      </c>
      <c r="F16"/>
      <c r="G16" s="15"/>
      <c r="H16" s="15"/>
      <c r="I16" s="15"/>
    </row>
    <row r="17" spans="1:9" ht="15" x14ac:dyDescent="0.25">
      <c r="A17" s="49">
        <v>14</v>
      </c>
      <c r="B17" s="29" t="s">
        <v>184</v>
      </c>
      <c r="C17" s="29" t="s">
        <v>122</v>
      </c>
      <c r="D17" s="167">
        <v>44729</v>
      </c>
      <c r="E17" s="168">
        <v>995</v>
      </c>
      <c r="F17"/>
      <c r="G17" s="15"/>
      <c r="H17" s="15"/>
      <c r="I17" s="15"/>
    </row>
    <row r="18" spans="1:9" ht="15" x14ac:dyDescent="0.25">
      <c r="A18" s="44">
        <v>15</v>
      </c>
      <c r="B18" s="29" t="s">
        <v>17</v>
      </c>
      <c r="C18" s="29" t="s">
        <v>113</v>
      </c>
      <c r="D18" s="167">
        <v>44706</v>
      </c>
      <c r="E18" s="168">
        <v>25996</v>
      </c>
      <c r="F18"/>
      <c r="G18" s="15"/>
      <c r="H18" s="15"/>
      <c r="I18" s="15"/>
    </row>
    <row r="19" spans="1:9" ht="15" x14ac:dyDescent="0.25">
      <c r="A19" s="44">
        <v>16</v>
      </c>
      <c r="B19" s="29" t="s">
        <v>29</v>
      </c>
      <c r="C19" s="29" t="s">
        <v>99</v>
      </c>
      <c r="D19" s="167">
        <v>44700</v>
      </c>
      <c r="E19" s="168">
        <v>48622</v>
      </c>
      <c r="F19"/>
      <c r="G19" s="15"/>
      <c r="H19" s="15"/>
      <c r="I19" s="15"/>
    </row>
    <row r="20" spans="1:9" ht="15" x14ac:dyDescent="0.25">
      <c r="A20" s="44">
        <v>17</v>
      </c>
      <c r="B20" s="29" t="s">
        <v>29</v>
      </c>
      <c r="C20" s="29" t="s">
        <v>99</v>
      </c>
      <c r="D20" s="167">
        <v>44712</v>
      </c>
      <c r="E20" s="168">
        <v>238140</v>
      </c>
      <c r="F20"/>
      <c r="G20" s="15"/>
      <c r="H20" s="15"/>
      <c r="I20" s="15"/>
    </row>
    <row r="21" spans="1:9" ht="15" x14ac:dyDescent="0.25">
      <c r="A21" s="44">
        <v>18</v>
      </c>
      <c r="B21" s="29" t="s">
        <v>29</v>
      </c>
      <c r="C21" t="s">
        <v>99</v>
      </c>
      <c r="D21" s="8">
        <v>44742</v>
      </c>
      <c r="E21" s="168">
        <v>100544</v>
      </c>
      <c r="F21"/>
      <c r="G21" s="15"/>
      <c r="H21" s="15"/>
      <c r="I21" s="15"/>
    </row>
    <row r="22" spans="1:9" ht="15" x14ac:dyDescent="0.25">
      <c r="A22" s="44">
        <v>19</v>
      </c>
      <c r="B22" s="29" t="s">
        <v>29</v>
      </c>
      <c r="C22" s="29" t="s">
        <v>99</v>
      </c>
      <c r="D22" s="8">
        <v>44773</v>
      </c>
      <c r="E22" s="168">
        <v>60828</v>
      </c>
      <c r="F22"/>
      <c r="G22" s="15"/>
      <c r="H22" s="15"/>
      <c r="I22" s="15"/>
    </row>
    <row r="23" spans="1:9" ht="15" x14ac:dyDescent="0.25">
      <c r="A23" s="44">
        <v>20</v>
      </c>
      <c r="B23" s="29" t="s">
        <v>29</v>
      </c>
      <c r="C23" s="29" t="s">
        <v>99</v>
      </c>
      <c r="D23" s="8">
        <v>44804</v>
      </c>
      <c r="E23" s="168">
        <v>63639</v>
      </c>
      <c r="F23"/>
      <c r="G23" s="15"/>
      <c r="H23" s="15"/>
      <c r="I23" s="15"/>
    </row>
    <row r="24" spans="1:9" ht="15" x14ac:dyDescent="0.25">
      <c r="A24" s="44">
        <v>21</v>
      </c>
      <c r="B24" s="29" t="s">
        <v>29</v>
      </c>
      <c r="C24" s="29" t="s">
        <v>100</v>
      </c>
      <c r="D24" s="8">
        <v>44713</v>
      </c>
      <c r="E24" s="168">
        <v>51352</v>
      </c>
      <c r="F24"/>
      <c r="G24" s="15"/>
      <c r="H24" s="15"/>
      <c r="I24" s="15"/>
    </row>
    <row r="25" spans="1:9" ht="15" x14ac:dyDescent="0.25">
      <c r="A25" s="44">
        <v>22</v>
      </c>
      <c r="B25" s="29" t="s">
        <v>29</v>
      </c>
      <c r="C25" s="29" t="s">
        <v>100</v>
      </c>
      <c r="D25" s="8">
        <v>44773</v>
      </c>
      <c r="E25" s="168">
        <v>8228</v>
      </c>
      <c r="F25"/>
      <c r="G25" s="15"/>
      <c r="H25" s="15"/>
      <c r="I25" s="15"/>
    </row>
    <row r="26" spans="1:9" ht="15" x14ac:dyDescent="0.25">
      <c r="A26" s="44">
        <v>23</v>
      </c>
      <c r="B26" s="29" t="s">
        <v>183</v>
      </c>
      <c r="C26" s="29" t="s">
        <v>101</v>
      </c>
      <c r="D26" s="8">
        <v>44720</v>
      </c>
      <c r="E26" s="168">
        <v>2598</v>
      </c>
      <c r="F26"/>
      <c r="G26" s="15"/>
      <c r="H26" s="15"/>
      <c r="I26" s="15"/>
    </row>
    <row r="27" spans="1:9" ht="15" x14ac:dyDescent="0.25">
      <c r="A27" s="44">
        <v>24</v>
      </c>
      <c r="B27" s="29" t="s">
        <v>183</v>
      </c>
      <c r="C27" s="29" t="s">
        <v>102</v>
      </c>
      <c r="D27" s="8">
        <v>44755</v>
      </c>
      <c r="E27" s="168">
        <v>1520</v>
      </c>
      <c r="F27"/>
      <c r="G27" s="15"/>
      <c r="H27" s="15"/>
      <c r="I27" s="15"/>
    </row>
    <row r="28" spans="1:9" ht="15" x14ac:dyDescent="0.25">
      <c r="A28" s="44">
        <v>25</v>
      </c>
      <c r="B28" s="29" t="s">
        <v>183</v>
      </c>
      <c r="C28" s="29" t="s">
        <v>101</v>
      </c>
      <c r="D28" s="8">
        <v>44804</v>
      </c>
      <c r="E28" s="168">
        <v>720</v>
      </c>
      <c r="F28"/>
      <c r="G28" s="15"/>
      <c r="H28" s="15"/>
      <c r="I28" s="15"/>
    </row>
    <row r="29" spans="1:9" ht="15" x14ac:dyDescent="0.25">
      <c r="A29" s="44">
        <v>26</v>
      </c>
      <c r="B29" s="29" t="s">
        <v>103</v>
      </c>
      <c r="C29" s="29" t="s">
        <v>104</v>
      </c>
      <c r="D29" s="8">
        <v>44773</v>
      </c>
      <c r="E29" s="168">
        <v>20241</v>
      </c>
      <c r="F29"/>
      <c r="G29" s="15"/>
      <c r="H29" s="15"/>
      <c r="I29" s="15"/>
    </row>
    <row r="30" spans="1:9" ht="15" x14ac:dyDescent="0.25">
      <c r="A30" s="44">
        <v>27</v>
      </c>
      <c r="B30" s="29" t="s">
        <v>18</v>
      </c>
      <c r="C30" s="29" t="s">
        <v>114</v>
      </c>
      <c r="D30" s="8">
        <v>44706</v>
      </c>
      <c r="E30" s="168">
        <v>1933</v>
      </c>
      <c r="F30"/>
      <c r="G30" s="15"/>
      <c r="H30" s="15"/>
      <c r="I30" s="15"/>
    </row>
    <row r="31" spans="1:9" ht="15" x14ac:dyDescent="0.25">
      <c r="A31" s="44">
        <v>28</v>
      </c>
      <c r="B31" s="29" t="s">
        <v>13</v>
      </c>
      <c r="C31" s="29" t="s">
        <v>116</v>
      </c>
      <c r="D31" s="8">
        <v>44743</v>
      </c>
      <c r="E31" s="168">
        <v>8250</v>
      </c>
      <c r="F31"/>
      <c r="G31" s="15"/>
      <c r="H31" s="15"/>
      <c r="I31" s="15"/>
    </row>
    <row r="32" spans="1:9" ht="15" x14ac:dyDescent="0.25">
      <c r="A32" s="44">
        <v>29</v>
      </c>
      <c r="B32" s="29" t="s">
        <v>13</v>
      </c>
      <c r="C32" s="29" t="s">
        <v>117</v>
      </c>
      <c r="D32" s="8">
        <v>44743</v>
      </c>
      <c r="E32" s="168">
        <v>8250</v>
      </c>
      <c r="F32"/>
      <c r="G32" s="15"/>
      <c r="H32" s="15"/>
      <c r="I32" s="15"/>
    </row>
    <row r="33" spans="1:11" ht="15" x14ac:dyDescent="0.25">
      <c r="A33" s="44">
        <v>30</v>
      </c>
      <c r="B33" s="29" t="s">
        <v>125</v>
      </c>
      <c r="C33" s="29" t="s">
        <v>118</v>
      </c>
      <c r="D33" s="8">
        <v>44755</v>
      </c>
      <c r="E33" s="168">
        <v>4619</v>
      </c>
      <c r="F33"/>
      <c r="G33" s="15"/>
      <c r="H33" s="15"/>
      <c r="I33" s="15"/>
    </row>
    <row r="34" spans="1:11" ht="15" x14ac:dyDescent="0.25">
      <c r="A34" s="44">
        <v>31</v>
      </c>
      <c r="B34" s="29" t="s">
        <v>124</v>
      </c>
      <c r="C34" s="29" t="s">
        <v>106</v>
      </c>
      <c r="D34" s="8">
        <v>44841</v>
      </c>
      <c r="E34" s="168">
        <v>4199</v>
      </c>
      <c r="F34"/>
      <c r="G34" s="15"/>
      <c r="H34" s="15"/>
      <c r="I34" s="15"/>
    </row>
    <row r="35" spans="1:11" ht="15" x14ac:dyDescent="0.25">
      <c r="A35" s="44">
        <v>32</v>
      </c>
      <c r="B35" s="29" t="s">
        <v>13</v>
      </c>
      <c r="C35" s="29" t="s">
        <v>131</v>
      </c>
      <c r="D35" s="8">
        <v>44902</v>
      </c>
      <c r="E35" s="168">
        <v>3688</v>
      </c>
      <c r="F35"/>
      <c r="G35" s="15"/>
      <c r="H35" s="15"/>
      <c r="I35" s="15"/>
    </row>
    <row r="36" spans="1:11" ht="15" x14ac:dyDescent="0.25">
      <c r="A36" s="44">
        <v>33</v>
      </c>
      <c r="B36" s="29" t="s">
        <v>194</v>
      </c>
      <c r="C36" s="29" t="s">
        <v>203</v>
      </c>
      <c r="D36" s="8">
        <v>45028</v>
      </c>
      <c r="E36" s="168">
        <v>113736</v>
      </c>
      <c r="F36"/>
      <c r="G36" s="15"/>
      <c r="H36" s="15"/>
      <c r="I36" s="15"/>
    </row>
    <row r="37" spans="1:11" ht="15" x14ac:dyDescent="0.25">
      <c r="A37" s="44">
        <v>34</v>
      </c>
      <c r="B37" s="29" t="s">
        <v>18</v>
      </c>
      <c r="C37" t="s">
        <v>164</v>
      </c>
      <c r="D37" s="8">
        <v>45084</v>
      </c>
      <c r="E37" s="15">
        <v>14146</v>
      </c>
      <c r="F37"/>
      <c r="G37" s="15"/>
      <c r="H37" s="15"/>
      <c r="I37" s="15"/>
    </row>
    <row r="38" spans="1:11" ht="15" x14ac:dyDescent="0.25">
      <c r="A38" s="44">
        <v>35</v>
      </c>
      <c r="B38" s="29" t="s">
        <v>29</v>
      </c>
      <c r="C38" t="s">
        <v>200</v>
      </c>
      <c r="D38" s="8">
        <v>45140</v>
      </c>
      <c r="E38" s="15">
        <v>21013</v>
      </c>
      <c r="F38"/>
      <c r="G38" s="15"/>
      <c r="H38" s="15"/>
      <c r="I38" s="15"/>
    </row>
    <row r="39" spans="1:11" ht="15" x14ac:dyDescent="0.25">
      <c r="A39" s="44">
        <v>36</v>
      </c>
      <c r="B39" s="29" t="s">
        <v>29</v>
      </c>
      <c r="C39" s="29" t="s">
        <v>200</v>
      </c>
      <c r="D39" s="8">
        <v>45175</v>
      </c>
      <c r="E39" s="15">
        <v>122967</v>
      </c>
      <c r="F39"/>
      <c r="G39" s="15"/>
      <c r="H39" s="15"/>
      <c r="I39" s="15"/>
    </row>
    <row r="40" spans="1:11" ht="15" x14ac:dyDescent="0.25">
      <c r="A40" s="44">
        <v>37</v>
      </c>
      <c r="B40" s="29" t="s">
        <v>194</v>
      </c>
      <c r="C40" s="29" t="s">
        <v>203</v>
      </c>
      <c r="D40" s="8">
        <v>45175</v>
      </c>
      <c r="E40" s="15">
        <v>189560</v>
      </c>
      <c r="F40"/>
      <c r="G40" s="15"/>
      <c r="H40" s="15"/>
      <c r="I40" s="15"/>
    </row>
    <row r="41" spans="1:11" ht="15" x14ac:dyDescent="0.25">
      <c r="A41" s="44">
        <v>38</v>
      </c>
      <c r="B41" s="29" t="s">
        <v>29</v>
      </c>
      <c r="C41" s="29" t="s">
        <v>200</v>
      </c>
      <c r="D41" s="8">
        <v>45197</v>
      </c>
      <c r="E41" s="15">
        <v>7372</v>
      </c>
      <c r="F41"/>
      <c r="G41" s="15"/>
      <c r="H41" s="15"/>
      <c r="I41" s="15"/>
    </row>
    <row r="42" spans="1:11" ht="15" x14ac:dyDescent="0.25">
      <c r="A42" s="44">
        <v>39</v>
      </c>
      <c r="B42" s="29" t="s">
        <v>18</v>
      </c>
      <c r="C42" s="29" t="s">
        <v>164</v>
      </c>
      <c r="D42" s="8">
        <v>45224</v>
      </c>
      <c r="E42" s="15">
        <v>15364</v>
      </c>
      <c r="F42"/>
      <c r="G42" s="15"/>
      <c r="H42" s="15"/>
      <c r="I42" s="15"/>
    </row>
    <row r="43" spans="1:11" ht="15" x14ac:dyDescent="0.25">
      <c r="A43" s="44">
        <v>40</v>
      </c>
      <c r="B43" s="29" t="s">
        <v>194</v>
      </c>
      <c r="C43" s="29" t="s">
        <v>203</v>
      </c>
      <c r="D43" s="8">
        <v>45237</v>
      </c>
      <c r="E43" s="15">
        <v>75802</v>
      </c>
      <c r="F43"/>
      <c r="G43" s="15"/>
      <c r="H43" s="15"/>
      <c r="I43" s="15"/>
    </row>
    <row r="44" spans="1:11" ht="15" x14ac:dyDescent="0.25">
      <c r="A44" s="44">
        <v>41</v>
      </c>
      <c r="B44" s="29" t="s">
        <v>13</v>
      </c>
      <c r="C44" s="29" t="s">
        <v>424</v>
      </c>
      <c r="D44" s="8">
        <v>45247</v>
      </c>
      <c r="E44" s="15">
        <v>16975</v>
      </c>
      <c r="F44"/>
      <c r="G44" s="15"/>
      <c r="H44" s="15"/>
      <c r="I44" s="15"/>
    </row>
    <row r="45" spans="1:11" ht="15" x14ac:dyDescent="0.25">
      <c r="A45" s="44">
        <v>42</v>
      </c>
      <c r="B45" s="29" t="s">
        <v>13</v>
      </c>
      <c r="C45" s="29" t="s">
        <v>429</v>
      </c>
      <c r="D45" s="8">
        <v>45274</v>
      </c>
      <c r="E45" s="15">
        <v>2824</v>
      </c>
      <c r="F45"/>
      <c r="G45" s="15"/>
      <c r="H45" s="15"/>
      <c r="I45" s="15"/>
    </row>
    <row r="46" spans="1:11" ht="15" x14ac:dyDescent="0.25">
      <c r="A46" s="39"/>
      <c r="B46" s="29" t="s">
        <v>438</v>
      </c>
      <c r="C46" s="29" t="s">
        <v>439</v>
      </c>
      <c r="D46" s="8"/>
      <c r="E46" s="15"/>
      <c r="F46"/>
      <c r="G46" s="15"/>
      <c r="H46" s="15">
        <v>4863</v>
      </c>
      <c r="I46" s="15"/>
    </row>
    <row r="47" spans="1:11" ht="15" x14ac:dyDescent="0.25">
      <c r="A47" s="39"/>
      <c r="B47" s="29" t="s">
        <v>561</v>
      </c>
      <c r="C47" s="29" t="s">
        <v>562</v>
      </c>
      <c r="D47" s="8"/>
      <c r="E47" s="15"/>
      <c r="F47"/>
      <c r="G47" s="15"/>
      <c r="H47" s="15"/>
      <c r="I47" s="15"/>
      <c r="K47" s="15">
        <v>37401</v>
      </c>
    </row>
    <row r="48" spans="1:11" ht="15" x14ac:dyDescent="0.25">
      <c r="B48" s="29"/>
      <c r="C48" t="s">
        <v>201</v>
      </c>
      <c r="D48" s="8"/>
      <c r="E48" s="168"/>
      <c r="F48"/>
      <c r="G48" s="15"/>
      <c r="H48" s="15"/>
      <c r="I48" s="15"/>
      <c r="K48" s="15">
        <v>10700</v>
      </c>
    </row>
    <row r="49" spans="2:13" ht="15" x14ac:dyDescent="0.25">
      <c r="B49" s="29"/>
      <c r="C49" t="s">
        <v>202</v>
      </c>
      <c r="D49" s="8"/>
      <c r="E49" s="168"/>
      <c r="F49"/>
      <c r="G49" s="15"/>
      <c r="H49" s="15"/>
      <c r="I49" s="15"/>
      <c r="K49" s="15">
        <v>5000</v>
      </c>
    </row>
    <row r="50" spans="2:13" ht="15" x14ac:dyDescent="0.25">
      <c r="B50" s="29"/>
      <c r="C50" s="29"/>
      <c r="D50" s="8"/>
      <c r="E50" s="168"/>
      <c r="F50"/>
      <c r="G50" s="15"/>
      <c r="H50" s="15"/>
      <c r="I50" s="15"/>
    </row>
    <row r="51" spans="2:13" ht="15" x14ac:dyDescent="0.25">
      <c r="D51" s="8"/>
      <c r="E51"/>
      <c r="F51"/>
      <c r="G51" s="15"/>
      <c r="H51" s="15"/>
      <c r="I51" s="15"/>
    </row>
    <row r="52" spans="2:13" thickBot="1" x14ac:dyDescent="0.3">
      <c r="D52" s="8"/>
      <c r="E52" s="12">
        <f>SUM(E4:E51)</f>
        <v>1449494</v>
      </c>
      <c r="F52"/>
      <c r="G52" s="16">
        <f t="shared" ref="G52:K52" si="0">SUM(G4:G51)</f>
        <v>0</v>
      </c>
      <c r="H52" s="16">
        <f t="shared" si="0"/>
        <v>4863</v>
      </c>
      <c r="I52" s="16">
        <f t="shared" si="0"/>
        <v>0</v>
      </c>
      <c r="J52" s="16">
        <f t="shared" si="0"/>
        <v>0</v>
      </c>
      <c r="K52" s="16">
        <f t="shared" si="0"/>
        <v>53101</v>
      </c>
      <c r="M52" s="25">
        <f>SUM(E52:L52)</f>
        <v>1507458</v>
      </c>
    </row>
    <row r="53" spans="2:13" thickTop="1" x14ac:dyDescent="0.25">
      <c r="D53" s="8"/>
      <c r="E53"/>
      <c r="F53"/>
    </row>
    <row r="54" spans="2:13" ht="15" x14ac:dyDescent="0.25">
      <c r="D54" s="8"/>
      <c r="E54"/>
      <c r="F54"/>
    </row>
    <row r="55" spans="2:13" ht="15" x14ac:dyDescent="0.25">
      <c r="D55" s="8"/>
      <c r="E55"/>
      <c r="F55"/>
    </row>
    <row r="56" spans="2:13" ht="15" x14ac:dyDescent="0.25">
      <c r="D56" s="8"/>
      <c r="E56"/>
      <c r="F56"/>
    </row>
  </sheetData>
  <pageMargins left="0.36" right="0.3" top="0.28000000000000003" bottom="0.28000000000000003" header="0.17" footer="0.17"/>
  <pageSetup scale="6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8BD7-4B91-4AE0-A88D-4DF9936D75AA}">
  <sheetPr>
    <tabColor rgb="FFFF0000"/>
  </sheetPr>
  <dimension ref="A1:E21"/>
  <sheetViews>
    <sheetView workbookViewId="0">
      <selection activeCell="I77" sqref="I77"/>
    </sheetView>
  </sheetViews>
  <sheetFormatPr defaultRowHeight="15" x14ac:dyDescent="0.25"/>
  <cols>
    <col min="2" max="2" width="44.5703125" customWidth="1"/>
    <col min="3" max="3" width="25.5703125" customWidth="1"/>
    <col min="4" max="4" width="17.42578125" customWidth="1"/>
    <col min="5" max="5" width="13.85546875" customWidth="1"/>
  </cols>
  <sheetData>
    <row r="1" spans="1:5" x14ac:dyDescent="0.25">
      <c r="A1" t="s">
        <v>30</v>
      </c>
    </row>
    <row r="3" spans="1:5" s="1" customFormat="1" ht="12.75" x14ac:dyDescent="0.2">
      <c r="B3" s="1" t="s">
        <v>26</v>
      </c>
      <c r="C3" s="1" t="s">
        <v>36</v>
      </c>
      <c r="D3" s="1" t="s">
        <v>56</v>
      </c>
      <c r="E3" s="1" t="s">
        <v>27</v>
      </c>
    </row>
    <row r="4" spans="1:5" ht="15.75" x14ac:dyDescent="0.25">
      <c r="A4" s="42">
        <v>1</v>
      </c>
      <c r="B4" s="11" t="s">
        <v>15</v>
      </c>
      <c r="C4" s="11" t="s">
        <v>85</v>
      </c>
      <c r="D4" s="22">
        <v>44333</v>
      </c>
      <c r="E4" s="10">
        <v>1000</v>
      </c>
    </row>
    <row r="5" spans="1:5" ht="15.75" x14ac:dyDescent="0.25">
      <c r="A5" s="42">
        <v>2</v>
      </c>
      <c r="B5" s="11" t="s">
        <v>15</v>
      </c>
      <c r="C5" s="11" t="s">
        <v>85</v>
      </c>
      <c r="D5" s="22">
        <v>44347</v>
      </c>
      <c r="E5" s="10">
        <v>5000</v>
      </c>
    </row>
    <row r="6" spans="1:5" ht="15.75" x14ac:dyDescent="0.25">
      <c r="A6" s="42">
        <v>3</v>
      </c>
      <c r="B6" s="11" t="s">
        <v>12</v>
      </c>
      <c r="C6" s="11" t="s">
        <v>152</v>
      </c>
      <c r="D6" s="22">
        <v>44375</v>
      </c>
      <c r="E6" s="10">
        <v>232.5</v>
      </c>
    </row>
    <row r="7" spans="1:5" ht="15.75" x14ac:dyDescent="0.25">
      <c r="A7" s="42">
        <v>4</v>
      </c>
      <c r="B7" s="11" t="s">
        <v>12</v>
      </c>
      <c r="C7" s="11" t="s">
        <v>151</v>
      </c>
      <c r="D7" s="22">
        <v>44432</v>
      </c>
      <c r="E7" s="10">
        <v>775</v>
      </c>
    </row>
    <row r="8" spans="1:5" ht="15.75" x14ac:dyDescent="0.25">
      <c r="A8" s="42">
        <v>5</v>
      </c>
      <c r="B8" s="11" t="s">
        <v>12</v>
      </c>
      <c r="C8" s="11" t="s">
        <v>151</v>
      </c>
      <c r="D8" s="22">
        <v>44446</v>
      </c>
      <c r="E8" s="10">
        <v>465</v>
      </c>
    </row>
    <row r="9" spans="1:5" ht="15.75" x14ac:dyDescent="0.25">
      <c r="A9" s="42">
        <v>6</v>
      </c>
      <c r="B9" s="11" t="s">
        <v>15</v>
      </c>
      <c r="C9" s="11" t="s">
        <v>149</v>
      </c>
      <c r="D9" s="22">
        <v>44446</v>
      </c>
      <c r="E9" s="10">
        <v>3762.5</v>
      </c>
    </row>
    <row r="10" spans="1:5" ht="15.75" x14ac:dyDescent="0.25">
      <c r="A10" s="42">
        <v>7</v>
      </c>
      <c r="B10" s="11" t="s">
        <v>12</v>
      </c>
      <c r="C10" s="11" t="s">
        <v>151</v>
      </c>
      <c r="D10" s="22">
        <v>44469</v>
      </c>
      <c r="E10" s="10">
        <v>1395</v>
      </c>
    </row>
    <row r="11" spans="1:5" ht="15.75" x14ac:dyDescent="0.25">
      <c r="A11" s="42">
        <v>8</v>
      </c>
      <c r="B11" s="11" t="s">
        <v>12</v>
      </c>
      <c r="C11" s="11" t="s">
        <v>151</v>
      </c>
      <c r="D11" s="22">
        <v>44487</v>
      </c>
      <c r="E11" s="10">
        <v>697.5</v>
      </c>
    </row>
    <row r="12" spans="1:5" ht="15.75" x14ac:dyDescent="0.25">
      <c r="A12" s="42">
        <v>9</v>
      </c>
      <c r="B12" s="11" t="s">
        <v>12</v>
      </c>
      <c r="C12" s="11" t="s">
        <v>151</v>
      </c>
      <c r="D12" s="22">
        <v>44517</v>
      </c>
      <c r="E12" s="10">
        <v>1395</v>
      </c>
    </row>
    <row r="13" spans="1:5" ht="15.75" x14ac:dyDescent="0.25">
      <c r="A13" s="43" t="s">
        <v>177</v>
      </c>
      <c r="B13" s="11" t="s">
        <v>15</v>
      </c>
      <c r="C13" s="11" t="s">
        <v>149</v>
      </c>
      <c r="D13" s="22">
        <v>44470</v>
      </c>
      <c r="E13" s="10">
        <v>700</v>
      </c>
    </row>
    <row r="14" spans="1:5" ht="15.75" x14ac:dyDescent="0.25">
      <c r="A14" s="43" t="s">
        <v>178</v>
      </c>
      <c r="B14" s="11" t="s">
        <v>15</v>
      </c>
      <c r="C14" s="11" t="s">
        <v>149</v>
      </c>
      <c r="D14" s="22">
        <v>44532</v>
      </c>
      <c r="E14" s="10">
        <v>700</v>
      </c>
    </row>
    <row r="15" spans="1:5" ht="15.75" x14ac:dyDescent="0.25">
      <c r="A15" s="42">
        <v>11</v>
      </c>
      <c r="B15" s="11" t="s">
        <v>12</v>
      </c>
      <c r="C15" s="11" t="s">
        <v>150</v>
      </c>
      <c r="D15" s="22">
        <v>44531</v>
      </c>
      <c r="E15" s="10">
        <v>930</v>
      </c>
    </row>
    <row r="16" spans="1:5" ht="15.75" x14ac:dyDescent="0.25">
      <c r="A16" s="42">
        <v>12</v>
      </c>
      <c r="B16" s="11" t="s">
        <v>12</v>
      </c>
      <c r="C16" s="11" t="s">
        <v>155</v>
      </c>
      <c r="D16" s="22">
        <v>44599</v>
      </c>
      <c r="E16" s="10">
        <v>1472.5</v>
      </c>
    </row>
    <row r="17" spans="1:5" ht="15.75" x14ac:dyDescent="0.25">
      <c r="A17" s="42">
        <v>13</v>
      </c>
      <c r="B17" s="11" t="s">
        <v>12</v>
      </c>
      <c r="C17" s="11" t="s">
        <v>154</v>
      </c>
      <c r="D17" s="22">
        <v>44655</v>
      </c>
      <c r="E17" s="10">
        <v>2192.5</v>
      </c>
    </row>
    <row r="20" spans="1:5" ht="15.75" thickBot="1" x14ac:dyDescent="0.3">
      <c r="E20" s="12">
        <f>SUM(E4:E19)</f>
        <v>20717.5</v>
      </c>
    </row>
    <row r="21" spans="1:5" ht="15.75" thickTop="1" x14ac:dyDescent="0.25"/>
  </sheetData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6A6D-8211-4A39-8F35-20A9BFB3041A}">
  <sheetPr>
    <tabColor rgb="FFFF0000"/>
    <pageSetUpPr fitToPage="1"/>
  </sheetPr>
  <dimension ref="A1:M68"/>
  <sheetViews>
    <sheetView workbookViewId="0">
      <pane ySplit="3" topLeftCell="A40" activePane="bottomLeft" state="frozen"/>
      <selection activeCell="I77" sqref="I77"/>
      <selection pane="bottomLeft" activeCell="G58" sqref="G58"/>
    </sheetView>
  </sheetViews>
  <sheetFormatPr defaultRowHeight="15" x14ac:dyDescent="0.25"/>
  <cols>
    <col min="2" max="2" width="12.42578125" customWidth="1"/>
    <col min="3" max="3" width="25.7109375" customWidth="1"/>
    <col min="4" max="4" width="10.5703125" bestFit="1" customWidth="1"/>
    <col min="5" max="5" width="4.140625" customWidth="1"/>
    <col min="6" max="7" width="11.7109375" bestFit="1" customWidth="1"/>
    <col min="8" max="8" width="11.5703125" bestFit="1" customWidth="1"/>
    <col min="9" max="9" width="10.7109375" bestFit="1" customWidth="1"/>
    <col min="12" max="12" width="13.28515625" bestFit="1" customWidth="1"/>
  </cols>
  <sheetData>
    <row r="1" spans="1:13" x14ac:dyDescent="0.25">
      <c r="A1" t="s">
        <v>166</v>
      </c>
    </row>
    <row r="3" spans="1:13" x14ac:dyDescent="0.25">
      <c r="B3" s="1" t="s">
        <v>56</v>
      </c>
      <c r="C3" s="1" t="s">
        <v>57</v>
      </c>
      <c r="D3" s="9" t="s">
        <v>27</v>
      </c>
      <c r="F3" s="33">
        <v>45383</v>
      </c>
      <c r="G3" s="33">
        <v>45413</v>
      </c>
      <c r="H3" s="33">
        <v>45444</v>
      </c>
      <c r="I3" s="33">
        <v>45474</v>
      </c>
      <c r="J3" s="33">
        <v>45505</v>
      </c>
    </row>
    <row r="4" spans="1:13" x14ac:dyDescent="0.25">
      <c r="B4" s="8" t="s">
        <v>240</v>
      </c>
      <c r="C4" s="17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42">
        <v>1</v>
      </c>
      <c r="B5" s="8">
        <v>44271</v>
      </c>
      <c r="C5" s="17" t="s">
        <v>59</v>
      </c>
      <c r="D5" s="3">
        <v>300000</v>
      </c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42">
        <v>2</v>
      </c>
      <c r="B6" s="8">
        <v>44433</v>
      </c>
      <c r="C6" s="17" t="s">
        <v>59</v>
      </c>
      <c r="D6" s="3">
        <v>90000</v>
      </c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42">
        <v>3</v>
      </c>
      <c r="B7" s="8">
        <v>44501</v>
      </c>
      <c r="C7" s="17" t="s">
        <v>59</v>
      </c>
      <c r="D7" s="3">
        <v>72000</v>
      </c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B8" s="8"/>
      <c r="C8" s="17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8"/>
      <c r="D9" s="4">
        <f>SUM(D5:D8)</f>
        <v>462000</v>
      </c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B10" s="1"/>
      <c r="C10" s="1"/>
      <c r="D10" s="2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>
        <v>4</v>
      </c>
      <c r="B11" s="8" t="s">
        <v>189</v>
      </c>
      <c r="C11" s="17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42">
        <v>5</v>
      </c>
      <c r="B12" s="8">
        <v>44516</v>
      </c>
      <c r="C12" s="17" t="s">
        <v>58</v>
      </c>
      <c r="D12" s="3">
        <v>100000</v>
      </c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42">
        <v>6</v>
      </c>
      <c r="B13" s="8">
        <v>44566</v>
      </c>
      <c r="C13" s="17" t="s">
        <v>58</v>
      </c>
      <c r="D13" s="3">
        <v>100000</v>
      </c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42">
        <v>7</v>
      </c>
      <c r="B14" s="8">
        <v>44594</v>
      </c>
      <c r="C14" s="17" t="s">
        <v>58</v>
      </c>
      <c r="D14" s="3">
        <v>100000</v>
      </c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42">
        <v>8</v>
      </c>
      <c r="B15" s="8">
        <v>44622</v>
      </c>
      <c r="C15" s="17" t="s">
        <v>58</v>
      </c>
      <c r="D15" s="3">
        <v>80000</v>
      </c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42">
        <v>9</v>
      </c>
      <c r="B16" s="8">
        <v>44631</v>
      </c>
      <c r="C16" s="17" t="s">
        <v>58</v>
      </c>
      <c r="D16" s="3">
        <v>100000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42">
        <v>10</v>
      </c>
      <c r="B17" s="8">
        <v>44655</v>
      </c>
      <c r="C17" s="17" t="s">
        <v>58</v>
      </c>
      <c r="D17" s="3">
        <v>70000</v>
      </c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42">
        <v>11</v>
      </c>
      <c r="B18" s="8">
        <v>44683</v>
      </c>
      <c r="C18" s="17" t="s">
        <v>58</v>
      </c>
      <c r="D18" s="3">
        <v>60000</v>
      </c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42">
        <v>12</v>
      </c>
      <c r="B19" s="8">
        <v>44704</v>
      </c>
      <c r="C19" s="17" t="s">
        <v>58</v>
      </c>
      <c r="D19" s="3">
        <v>75000</v>
      </c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42">
        <v>13</v>
      </c>
      <c r="B20" s="8">
        <v>44715</v>
      </c>
      <c r="C20" s="17" t="s">
        <v>58</v>
      </c>
      <c r="D20" s="3">
        <v>60000</v>
      </c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42">
        <v>14</v>
      </c>
      <c r="B21" s="8">
        <v>44747</v>
      </c>
      <c r="C21" s="17" t="s">
        <v>58</v>
      </c>
      <c r="D21" s="3">
        <v>70000</v>
      </c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42">
        <v>15</v>
      </c>
      <c r="B22" s="8">
        <v>44777</v>
      </c>
      <c r="C22" s="17" t="s">
        <v>58</v>
      </c>
      <c r="D22" s="3">
        <v>60000</v>
      </c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42">
        <v>16</v>
      </c>
      <c r="B23" s="8">
        <v>44798</v>
      </c>
      <c r="C23" s="17" t="s">
        <v>58</v>
      </c>
      <c r="D23" s="3">
        <v>70000</v>
      </c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42">
        <v>17</v>
      </c>
      <c r="B24" s="8">
        <v>44838</v>
      </c>
      <c r="C24" s="17" t="s">
        <v>58</v>
      </c>
      <c r="D24" s="3">
        <v>70000</v>
      </c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42">
        <v>18</v>
      </c>
      <c r="B25" s="8">
        <v>44868</v>
      </c>
      <c r="C25" s="17" t="s">
        <v>58</v>
      </c>
      <c r="D25" s="3">
        <v>60000</v>
      </c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42">
        <v>19</v>
      </c>
      <c r="B26" s="8">
        <v>44901</v>
      </c>
      <c r="C26" s="17" t="s">
        <v>58</v>
      </c>
      <c r="D26" s="3">
        <v>60000</v>
      </c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42">
        <v>20</v>
      </c>
      <c r="B27" s="8">
        <v>44930</v>
      </c>
      <c r="C27" s="17" t="s">
        <v>58</v>
      </c>
      <c r="D27" s="3">
        <v>95000</v>
      </c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42">
        <v>21</v>
      </c>
      <c r="B28" s="8">
        <v>44964</v>
      </c>
      <c r="C28" s="17" t="s">
        <v>58</v>
      </c>
      <c r="D28" s="3">
        <v>41000</v>
      </c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42">
        <v>22</v>
      </c>
      <c r="B29" s="8">
        <v>44978</v>
      </c>
      <c r="C29" s="17" t="s">
        <v>58</v>
      </c>
      <c r="D29" s="3">
        <v>41000</v>
      </c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42">
        <v>23</v>
      </c>
      <c r="B30" s="8">
        <v>44991</v>
      </c>
      <c r="C30" s="17" t="s">
        <v>58</v>
      </c>
      <c r="D30" s="3">
        <v>41000</v>
      </c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42">
        <v>24</v>
      </c>
      <c r="B31" s="8">
        <v>44994</v>
      </c>
      <c r="C31" s="17" t="s">
        <v>58</v>
      </c>
      <c r="D31" s="3">
        <v>25000</v>
      </c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42">
        <v>25</v>
      </c>
      <c r="B32" s="8">
        <v>45006</v>
      </c>
      <c r="C32" s="17" t="s">
        <v>58</v>
      </c>
      <c r="D32" s="3">
        <v>41000</v>
      </c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42">
        <v>26</v>
      </c>
      <c r="B33" s="8">
        <v>45021</v>
      </c>
      <c r="C33" s="17" t="s">
        <v>58</v>
      </c>
      <c r="D33" s="3">
        <v>106000</v>
      </c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42">
        <v>27</v>
      </c>
      <c r="B34" s="8">
        <v>45030</v>
      </c>
      <c r="C34" s="17" t="s">
        <v>58</v>
      </c>
      <c r="D34" s="3">
        <v>56250</v>
      </c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42">
        <v>28</v>
      </c>
      <c r="B35" s="8">
        <v>45049</v>
      </c>
      <c r="C35" s="17" t="s">
        <v>58</v>
      </c>
      <c r="D35" s="3">
        <v>107000</v>
      </c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42">
        <v>29</v>
      </c>
      <c r="B36" s="8">
        <v>45056</v>
      </c>
      <c r="C36" s="17" t="s">
        <v>58</v>
      </c>
      <c r="D36" s="3">
        <v>25000</v>
      </c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41">
        <v>30</v>
      </c>
      <c r="B37" s="8">
        <v>45079</v>
      </c>
      <c r="C37" s="17" t="s">
        <v>58</v>
      </c>
      <c r="D37" s="3">
        <v>59000</v>
      </c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41">
        <v>31</v>
      </c>
      <c r="B38" s="8">
        <v>45098</v>
      </c>
      <c r="C38" s="17" t="s">
        <v>58</v>
      </c>
      <c r="D38" s="3">
        <v>59000</v>
      </c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41">
        <v>32</v>
      </c>
      <c r="B39" s="8">
        <v>45114</v>
      </c>
      <c r="C39" s="17" t="s">
        <v>58</v>
      </c>
      <c r="D39" s="3">
        <v>75000</v>
      </c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41">
        <v>33</v>
      </c>
      <c r="B40" s="8">
        <v>45127</v>
      </c>
      <c r="C40" s="17" t="s">
        <v>58</v>
      </c>
      <c r="D40" s="3">
        <v>43000</v>
      </c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41">
        <v>34</v>
      </c>
      <c r="B41" s="8">
        <v>45142</v>
      </c>
      <c r="C41" s="17" t="s">
        <v>58</v>
      </c>
      <c r="D41" s="3">
        <v>88500</v>
      </c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41">
        <v>35</v>
      </c>
      <c r="B42" s="8">
        <v>45162</v>
      </c>
      <c r="C42" s="17" t="s">
        <v>58</v>
      </c>
      <c r="D42" s="3">
        <v>43000</v>
      </c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41">
        <v>36</v>
      </c>
      <c r="B43" s="8">
        <v>45175</v>
      </c>
      <c r="C43" s="17" t="s">
        <v>58</v>
      </c>
      <c r="D43" s="3">
        <v>75000</v>
      </c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41">
        <v>37</v>
      </c>
      <c r="B44" s="8">
        <v>45194</v>
      </c>
      <c r="C44" s="17" t="s">
        <v>58</v>
      </c>
      <c r="D44" s="3">
        <v>43000</v>
      </c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41">
        <v>38</v>
      </c>
      <c r="B45" s="8">
        <v>45201</v>
      </c>
      <c r="C45" s="17" t="s">
        <v>58</v>
      </c>
      <c r="D45" s="3">
        <v>75000</v>
      </c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41">
        <v>39</v>
      </c>
      <c r="B46" s="8">
        <v>45210</v>
      </c>
      <c r="C46" s="17" t="s">
        <v>58</v>
      </c>
      <c r="D46" s="3">
        <v>7000</v>
      </c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41">
        <v>40</v>
      </c>
      <c r="B47" s="8">
        <v>45223</v>
      </c>
      <c r="C47" s="17" t="s">
        <v>58</v>
      </c>
      <c r="D47" s="3">
        <v>43000</v>
      </c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41">
        <v>41</v>
      </c>
      <c r="B48" s="8">
        <v>45238</v>
      </c>
      <c r="C48" s="17" t="s">
        <v>58</v>
      </c>
      <c r="D48" s="3">
        <v>86000</v>
      </c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41">
        <v>42</v>
      </c>
      <c r="B49" s="8">
        <v>45251</v>
      </c>
      <c r="C49" s="17" t="s">
        <v>58</v>
      </c>
      <c r="D49" s="3">
        <v>54000</v>
      </c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41">
        <v>43</v>
      </c>
      <c r="B50" s="8">
        <v>45266</v>
      </c>
      <c r="C50" s="17" t="s">
        <v>58</v>
      </c>
      <c r="D50" s="3">
        <v>86000</v>
      </c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41">
        <v>44</v>
      </c>
      <c r="B51" s="8">
        <v>45280</v>
      </c>
      <c r="C51" s="17" t="s">
        <v>58</v>
      </c>
      <c r="D51" s="3">
        <v>56400</v>
      </c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41">
        <v>45</v>
      </c>
      <c r="B52" s="8">
        <v>45300</v>
      </c>
      <c r="C52" s="17" t="s">
        <v>58</v>
      </c>
      <c r="D52" s="3">
        <v>86000</v>
      </c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41">
        <v>46</v>
      </c>
      <c r="B53" s="8">
        <v>45308</v>
      </c>
      <c r="C53" s="17" t="s">
        <v>444</v>
      </c>
      <c r="D53" s="3">
        <v>16500</v>
      </c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A54" s="41">
        <v>47</v>
      </c>
      <c r="B54" s="8">
        <v>45315</v>
      </c>
      <c r="C54" s="17" t="s">
        <v>58</v>
      </c>
      <c r="D54" s="3">
        <v>54000</v>
      </c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41">
        <v>48</v>
      </c>
      <c r="B55" s="8">
        <v>45330</v>
      </c>
      <c r="C55" s="17" t="s">
        <v>58</v>
      </c>
      <c r="D55" s="3">
        <v>86000</v>
      </c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41">
        <v>49</v>
      </c>
      <c r="B56" s="8">
        <v>45348</v>
      </c>
      <c r="C56" s="17" t="s">
        <v>58</v>
      </c>
      <c r="D56" s="3">
        <v>54000</v>
      </c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41">
        <v>50</v>
      </c>
      <c r="B57" s="8">
        <v>45358</v>
      </c>
      <c r="C57" s="17" t="s">
        <v>58</v>
      </c>
      <c r="D57" s="3">
        <v>86000</v>
      </c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41">
        <v>51</v>
      </c>
      <c r="B58" s="8">
        <v>45377</v>
      </c>
      <c r="C58" s="17" t="s">
        <v>58</v>
      </c>
      <c r="D58" s="3">
        <v>54000</v>
      </c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41">
        <v>52</v>
      </c>
      <c r="B59" s="8">
        <v>45390</v>
      </c>
      <c r="C59" s="17" t="s">
        <v>58</v>
      </c>
      <c r="D59" s="3">
        <v>86000</v>
      </c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41">
        <v>53</v>
      </c>
      <c r="B60" s="8">
        <v>45406</v>
      </c>
      <c r="C60" s="17" t="s">
        <v>58</v>
      </c>
      <c r="D60" s="3">
        <v>54000</v>
      </c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37"/>
      <c r="B61" s="8"/>
      <c r="C61" s="17"/>
      <c r="D61" s="3"/>
      <c r="E61" s="3"/>
      <c r="F61" s="3"/>
      <c r="G61" s="3">
        <v>140000</v>
      </c>
      <c r="H61" s="3">
        <v>140000</v>
      </c>
      <c r="I61" s="3"/>
      <c r="J61" s="3"/>
      <c r="K61" s="3"/>
      <c r="L61" s="3"/>
      <c r="M61" s="3"/>
    </row>
    <row r="62" spans="1:13" x14ac:dyDescent="0.25">
      <c r="B62" s="8"/>
      <c r="D62" s="3"/>
      <c r="E62" s="3"/>
      <c r="F62" s="5"/>
      <c r="G62" s="5"/>
      <c r="H62" s="5"/>
      <c r="I62" s="5"/>
      <c r="J62" s="5"/>
      <c r="K62" s="5"/>
      <c r="L62" s="5"/>
      <c r="M62" s="3"/>
    </row>
    <row r="63" spans="1:13" x14ac:dyDescent="0.25">
      <c r="B63" s="8"/>
      <c r="D63" s="4">
        <f>SUM(D11:D62)</f>
        <v>3182650</v>
      </c>
      <c r="E63" s="3"/>
      <c r="F63" s="5"/>
      <c r="G63" s="5"/>
      <c r="H63" s="5"/>
      <c r="I63" s="5"/>
      <c r="J63" s="5"/>
      <c r="K63" s="5"/>
      <c r="L63" s="5"/>
      <c r="M63" s="3"/>
    </row>
    <row r="64" spans="1:13" x14ac:dyDescent="0.25">
      <c r="B64" s="8"/>
      <c r="C64" s="17"/>
      <c r="D64" s="3"/>
      <c r="E64" s="3"/>
      <c r="F64" s="5"/>
      <c r="G64" s="5"/>
      <c r="H64" s="5"/>
      <c r="I64" s="5"/>
      <c r="J64" s="5"/>
      <c r="K64" s="5"/>
      <c r="L64" s="5"/>
      <c r="M64" s="3"/>
    </row>
    <row r="65" spans="2:13" ht="16.5" thickBot="1" x14ac:dyDescent="0.3">
      <c r="B65" s="11" t="s">
        <v>137</v>
      </c>
      <c r="C65" s="8"/>
      <c r="D65" s="174">
        <f>D63+D9</f>
        <v>3644650</v>
      </c>
      <c r="E65" s="3"/>
      <c r="F65" s="35">
        <f t="shared" ref="F65:J65" si="0">SUM(F5:F64)</f>
        <v>0</v>
      </c>
      <c r="G65" s="35">
        <f t="shared" si="0"/>
        <v>140000</v>
      </c>
      <c r="H65" s="35">
        <f t="shared" si="0"/>
        <v>140000</v>
      </c>
      <c r="I65" s="35">
        <f t="shared" si="0"/>
        <v>0</v>
      </c>
      <c r="J65" s="35">
        <f t="shared" si="0"/>
        <v>0</v>
      </c>
      <c r="K65" s="5"/>
      <c r="L65" s="5">
        <f>SUM(D65:K65)</f>
        <v>3924650</v>
      </c>
      <c r="M65" s="3"/>
    </row>
    <row r="66" spans="2:13" ht="15.75" thickTop="1" x14ac:dyDescent="0.25">
      <c r="C66" s="8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2:13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2:13" x14ac:dyDescent="0.25">
      <c r="D68" s="3"/>
      <c r="E68" s="3"/>
      <c r="F68" s="3"/>
      <c r="G68" s="3"/>
      <c r="H68" s="3"/>
      <c r="I68" s="3"/>
      <c r="J68" s="3"/>
      <c r="K68" s="3"/>
      <c r="L68" s="3"/>
      <c r="M68" s="3"/>
    </row>
  </sheetData>
  <pageMargins left="0.6" right="0.27" top="0.75" bottom="0.54" header="0.3" footer="0.22"/>
  <pageSetup fitToHeight="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5C54D-E0A8-4D86-8759-3BDAAE616040}">
  <sheetPr>
    <tabColor rgb="FFFF0000"/>
  </sheetPr>
  <dimension ref="A1:F9"/>
  <sheetViews>
    <sheetView workbookViewId="0">
      <selection activeCell="E6" sqref="E6"/>
    </sheetView>
  </sheetViews>
  <sheetFormatPr defaultRowHeight="15" x14ac:dyDescent="0.25"/>
  <cols>
    <col min="1" max="1" width="15.7109375" bestFit="1" customWidth="1"/>
    <col min="2" max="5" width="13.28515625" bestFit="1" customWidth="1"/>
  </cols>
  <sheetData>
    <row r="1" spans="1:6" x14ac:dyDescent="0.25">
      <c r="A1" t="s">
        <v>217</v>
      </c>
    </row>
    <row r="3" spans="1:6" x14ac:dyDescent="0.25">
      <c r="B3" s="33">
        <v>45383</v>
      </c>
      <c r="C3" s="33">
        <v>45413</v>
      </c>
      <c r="D3" s="33">
        <v>45444</v>
      </c>
      <c r="E3" s="33">
        <v>45474</v>
      </c>
      <c r="F3" s="33">
        <v>45505</v>
      </c>
    </row>
    <row r="4" spans="1:6" x14ac:dyDescent="0.25">
      <c r="A4" t="s">
        <v>218</v>
      </c>
      <c r="B4" s="15"/>
      <c r="C4" s="15">
        <v>3576747</v>
      </c>
      <c r="D4" s="15">
        <v>3564223</v>
      </c>
      <c r="E4" s="15">
        <v>3551315</v>
      </c>
    </row>
    <row r="5" spans="1:6" x14ac:dyDescent="0.25">
      <c r="A5" t="s">
        <v>219</v>
      </c>
      <c r="B5" s="15"/>
      <c r="C5" s="15"/>
      <c r="D5" s="15"/>
    </row>
    <row r="6" spans="1:6" x14ac:dyDescent="0.25">
      <c r="A6" t="s">
        <v>234</v>
      </c>
      <c r="B6" s="15"/>
      <c r="C6" s="15">
        <v>10780</v>
      </c>
      <c r="D6" s="15">
        <v>10396</v>
      </c>
      <c r="E6" s="15">
        <v>10703</v>
      </c>
    </row>
    <row r="7" spans="1:6" x14ac:dyDescent="0.25">
      <c r="B7" s="15"/>
      <c r="C7" s="15"/>
      <c r="D7" s="15"/>
    </row>
    <row r="8" spans="1:6" ht="15.75" thickBot="1" x14ac:dyDescent="0.3">
      <c r="A8" t="s">
        <v>220</v>
      </c>
      <c r="B8" s="16">
        <f t="shared" ref="B8:F8" si="0">SUM(B4:B7)</f>
        <v>0</v>
      </c>
      <c r="C8" s="16">
        <f t="shared" si="0"/>
        <v>3587527</v>
      </c>
      <c r="D8" s="16">
        <f t="shared" si="0"/>
        <v>3574619</v>
      </c>
      <c r="E8" s="16">
        <f t="shared" si="0"/>
        <v>3562018</v>
      </c>
      <c r="F8" s="16">
        <f t="shared" si="0"/>
        <v>0</v>
      </c>
    </row>
    <row r="9" spans="1:6" ht="15.75" thickTop="1" x14ac:dyDescent="0.25"/>
  </sheetData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C999C-1F08-4597-A4E5-0B477EBF7199}">
  <sheetPr>
    <tabColor rgb="FFFF0000"/>
  </sheetPr>
  <dimension ref="A1:H18"/>
  <sheetViews>
    <sheetView workbookViewId="0">
      <selection activeCell="E10" sqref="E10"/>
    </sheetView>
  </sheetViews>
  <sheetFormatPr defaultRowHeight="15" x14ac:dyDescent="0.25"/>
  <cols>
    <col min="2" max="2" width="25.7109375" customWidth="1"/>
    <col min="3" max="3" width="12.42578125" customWidth="1"/>
    <col min="4" max="4" width="14.5703125" customWidth="1"/>
    <col min="5" max="5" width="3.7109375" customWidth="1"/>
    <col min="6" max="6" width="10.5703125" bestFit="1" customWidth="1"/>
    <col min="8" max="8" width="13.28515625" bestFit="1" customWidth="1"/>
  </cols>
  <sheetData>
    <row r="1" spans="1:6" x14ac:dyDescent="0.25">
      <c r="A1" t="s">
        <v>160</v>
      </c>
    </row>
    <row r="3" spans="1:6" s="1" customFormat="1" ht="12.75" x14ac:dyDescent="0.2">
      <c r="B3" s="1" t="s">
        <v>57</v>
      </c>
      <c r="C3" s="1" t="s">
        <v>56</v>
      </c>
      <c r="D3" s="9" t="s">
        <v>27</v>
      </c>
      <c r="E3" s="9"/>
      <c r="F3" s="34" t="s">
        <v>176</v>
      </c>
    </row>
    <row r="4" spans="1:6" x14ac:dyDescent="0.25">
      <c r="A4" s="42">
        <v>1</v>
      </c>
      <c r="B4" s="17" t="s">
        <v>560</v>
      </c>
      <c r="C4" s="8">
        <v>44784</v>
      </c>
      <c r="D4" s="18">
        <v>150000</v>
      </c>
      <c r="E4" s="18"/>
      <c r="F4" s="3"/>
    </row>
    <row r="5" spans="1:6" x14ac:dyDescent="0.25">
      <c r="A5" s="42">
        <v>2</v>
      </c>
      <c r="B5" s="17" t="s">
        <v>159</v>
      </c>
      <c r="C5" s="8">
        <v>44784</v>
      </c>
      <c r="D5" s="15">
        <v>150000</v>
      </c>
      <c r="E5" s="15"/>
      <c r="F5" s="3"/>
    </row>
    <row r="6" spans="1:6" x14ac:dyDescent="0.25">
      <c r="A6" s="42">
        <v>3</v>
      </c>
      <c r="B6" s="17" t="s">
        <v>560</v>
      </c>
      <c r="C6" s="8">
        <v>44874</v>
      </c>
      <c r="D6" s="15">
        <v>150000</v>
      </c>
      <c r="E6" s="15"/>
      <c r="F6" s="3"/>
    </row>
    <row r="7" spans="1:6" x14ac:dyDescent="0.25">
      <c r="A7" s="42">
        <v>4</v>
      </c>
      <c r="B7" s="17" t="s">
        <v>560</v>
      </c>
      <c r="C7" s="8">
        <v>44937</v>
      </c>
      <c r="D7" s="15">
        <v>150000</v>
      </c>
      <c r="E7" s="15"/>
      <c r="F7" s="3"/>
    </row>
    <row r="8" spans="1:6" x14ac:dyDescent="0.25">
      <c r="A8" s="42">
        <v>5</v>
      </c>
      <c r="B8" s="17" t="s">
        <v>560</v>
      </c>
      <c r="C8" s="8">
        <v>45126</v>
      </c>
      <c r="D8" s="15">
        <v>250000</v>
      </c>
      <c r="E8" s="15"/>
      <c r="F8" s="3"/>
    </row>
    <row r="9" spans="1:6" x14ac:dyDescent="0.25">
      <c r="A9" s="42">
        <v>6</v>
      </c>
      <c r="B9" s="17" t="s">
        <v>560</v>
      </c>
      <c r="C9" s="8">
        <v>45268</v>
      </c>
      <c r="D9" s="15">
        <v>75000</v>
      </c>
      <c r="E9" s="15"/>
      <c r="F9" s="3"/>
    </row>
    <row r="10" spans="1:6" x14ac:dyDescent="0.25">
      <c r="A10" s="42">
        <v>7</v>
      </c>
      <c r="B10" s="17" t="s">
        <v>159</v>
      </c>
      <c r="C10" s="8">
        <v>45371</v>
      </c>
      <c r="D10" s="15">
        <v>400000</v>
      </c>
      <c r="E10" s="15"/>
      <c r="F10" s="3">
        <v>1450000</v>
      </c>
    </row>
    <row r="11" spans="1:6" x14ac:dyDescent="0.25">
      <c r="A11" s="42">
        <v>8</v>
      </c>
      <c r="B11" s="17" t="s">
        <v>440</v>
      </c>
      <c r="C11" s="8"/>
      <c r="D11" s="15">
        <v>16767.919999999998</v>
      </c>
      <c r="E11" s="15"/>
      <c r="F11" s="3">
        <v>15000</v>
      </c>
    </row>
    <row r="12" spans="1:6" x14ac:dyDescent="0.25">
      <c r="B12" s="17" t="s">
        <v>227</v>
      </c>
      <c r="C12" s="8"/>
      <c r="D12" s="15"/>
      <c r="E12" s="15"/>
      <c r="F12" s="3">
        <v>140000</v>
      </c>
    </row>
    <row r="13" spans="1:6" x14ac:dyDescent="0.25">
      <c r="B13" s="17" t="s">
        <v>40</v>
      </c>
      <c r="C13" s="8"/>
      <c r="D13" s="15"/>
      <c r="E13" s="15"/>
      <c r="F13" s="3">
        <v>36010</v>
      </c>
    </row>
    <row r="14" spans="1:6" x14ac:dyDescent="0.25">
      <c r="B14" s="17" t="s">
        <v>441</v>
      </c>
      <c r="C14" s="8"/>
      <c r="D14" s="15"/>
      <c r="E14" s="15"/>
      <c r="F14" s="3">
        <v>88000</v>
      </c>
    </row>
    <row r="15" spans="1:6" x14ac:dyDescent="0.25">
      <c r="B15" s="17" t="s">
        <v>408</v>
      </c>
      <c r="C15" s="8"/>
      <c r="D15" s="15"/>
      <c r="E15" s="15"/>
      <c r="F15" s="3">
        <v>600000</v>
      </c>
    </row>
    <row r="16" spans="1:6" x14ac:dyDescent="0.25">
      <c r="C16" s="8"/>
      <c r="D16" s="15"/>
      <c r="E16" s="15"/>
      <c r="F16" s="3"/>
    </row>
    <row r="17" spans="2:8" ht="15.75" thickBot="1" x14ac:dyDescent="0.3">
      <c r="C17" s="8"/>
      <c r="D17" s="16">
        <f>SUM(D4:D16)</f>
        <v>1341767.92</v>
      </c>
      <c r="E17" s="27"/>
      <c r="F17" s="35">
        <f>SUM(F4:F16)</f>
        <v>2329010</v>
      </c>
      <c r="H17" s="25">
        <f>SUM(D17:G17)</f>
        <v>3670777.92</v>
      </c>
    </row>
    <row r="18" spans="2:8" ht="15.75" thickTop="1" x14ac:dyDescent="0.25">
      <c r="B18" s="17"/>
      <c r="C18" s="8"/>
      <c r="D18" s="15"/>
      <c r="E18" s="15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10</vt:i4>
      </vt:variant>
    </vt:vector>
  </HeadingPairs>
  <TitlesOfParts>
    <vt:vector size="33" baseType="lpstr">
      <vt:lpstr>Sources &amp; Uses</vt:lpstr>
      <vt:lpstr>Development Costs</vt:lpstr>
      <vt:lpstr>GC Project Costs Detail</vt:lpstr>
      <vt:lpstr>Operating Costs</vt:lpstr>
      <vt:lpstr>ILM FF&amp;E</vt:lpstr>
      <vt:lpstr>Interest Reserve (TBD)</vt:lpstr>
      <vt:lpstr>Paid by Owner</vt:lpstr>
      <vt:lpstr>GC</vt:lpstr>
      <vt:lpstr>2. ILM  Property</vt:lpstr>
      <vt:lpstr>3. ILM Legal</vt:lpstr>
      <vt:lpstr>4. ILM Bond</vt:lpstr>
      <vt:lpstr>5. ILM Insurance</vt:lpstr>
      <vt:lpstr>6. ILM Airport Fees</vt:lpstr>
      <vt:lpstr>7. Consulting</vt:lpstr>
      <vt:lpstr>8. Wages &amp; Ben</vt:lpstr>
      <vt:lpstr>9. Travel</vt:lpstr>
      <vt:lpstr>10. 805 Purchase</vt:lpstr>
      <vt:lpstr>11. 805 Improve</vt:lpstr>
      <vt:lpstr>12. 805 FF&amp;E</vt:lpstr>
      <vt:lpstr>13. 805 Surveys</vt:lpstr>
      <vt:lpstr>14. Frontier</vt:lpstr>
      <vt:lpstr>15. STAR Payoff</vt:lpstr>
      <vt:lpstr>16. Closing Costs</vt:lpstr>
      <vt:lpstr>'9. Travel'!Print_Area</vt:lpstr>
      <vt:lpstr>'Development Costs'!Print_Area</vt:lpstr>
      <vt:lpstr>'11. 805 Improve'!Print_Titles</vt:lpstr>
      <vt:lpstr>'12. 805 FF&amp;E'!Print_Titles</vt:lpstr>
      <vt:lpstr>'14. Frontier'!Print_Titles</vt:lpstr>
      <vt:lpstr>'2. ILM  Property'!Print_Titles</vt:lpstr>
      <vt:lpstr>'8. Wages &amp; Ben'!Print_Titles</vt:lpstr>
      <vt:lpstr>'Development Costs'!Print_Titles</vt:lpstr>
      <vt:lpstr>GC!Print_Titles</vt:lpstr>
      <vt:lpstr>'GC Project Costs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Daily</dc:creator>
  <cp:lastModifiedBy>Mike Daily</cp:lastModifiedBy>
  <cp:lastPrinted>2024-04-30T20:28:45Z</cp:lastPrinted>
  <dcterms:created xsi:type="dcterms:W3CDTF">2022-06-28T17:26:54Z</dcterms:created>
  <dcterms:modified xsi:type="dcterms:W3CDTF">2024-05-08T18:21:22Z</dcterms:modified>
</cp:coreProperties>
</file>