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NLeitmayr\OneDrive - Marcus &amp; Millichap\Desktop\Updated KC.MO Financials\"/>
    </mc:Choice>
  </mc:AlternateContent>
  <xr:revisionPtr revIDLastSave="0" documentId="8_{E6695BE7-AFD9-45BE-91C9-3754660613AA}" xr6:coauthVersionLast="47" xr6:coauthVersionMax="47" xr10:uidLastSave="{00000000-0000-0000-0000-000000000000}"/>
  <bookViews>
    <workbookView xWindow="14055" yWindow="-16380" windowWidth="29040" windowHeight="15720" xr2:uid="{00000000-000D-0000-FFFF-FFFF00000000}"/>
  </bookViews>
  <sheets>
    <sheet name="2025Q1 Rent Roll" sheetId="2" r:id="rId1"/>
    <sheet name="2024EoY Rent Roll" sheetId="3" r:id="rId2"/>
    <sheet name="Broadway 2025 Q1 T12 Profit and" sheetId="4" r:id="rId3"/>
    <sheet name="Broadway 2024 Profit and Loss" sheetId="5" r:id="rId4"/>
    <sheet name="Broadway 2023 Profit and Loss" sheetId="6" r:id="rId5"/>
    <sheet name="Ben Day 2025 Q1 T12 Profit and " sheetId="7" r:id="rId6"/>
    <sheet name="Ben Day 2024 Profit and Loss" sheetId="8" r:id="rId7"/>
    <sheet name="Ben Day 2023 Profit and Loss" sheetId="9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7" i="9" l="1"/>
  <c r="M48" i="9" s="1"/>
  <c r="K47" i="9"/>
  <c r="K48" i="9" s="1"/>
  <c r="I47" i="9"/>
  <c r="I48" i="9" s="1"/>
  <c r="G47" i="9"/>
  <c r="G48" i="9" s="1"/>
  <c r="E47" i="9"/>
  <c r="E48" i="9" s="1"/>
  <c r="C47" i="9"/>
  <c r="C48" i="9" s="1"/>
  <c r="M46" i="9"/>
  <c r="L46" i="9"/>
  <c r="L47" i="9" s="1"/>
  <c r="L48" i="9" s="1"/>
  <c r="K46" i="9"/>
  <c r="J46" i="9"/>
  <c r="J47" i="9" s="1"/>
  <c r="J48" i="9" s="1"/>
  <c r="I46" i="9"/>
  <c r="H46" i="9"/>
  <c r="H47" i="9" s="1"/>
  <c r="H48" i="9" s="1"/>
  <c r="G46" i="9"/>
  <c r="F46" i="9"/>
  <c r="F47" i="9" s="1"/>
  <c r="F48" i="9" s="1"/>
  <c r="E46" i="9"/>
  <c r="D46" i="9"/>
  <c r="D47" i="9" s="1"/>
  <c r="D48" i="9" s="1"/>
  <c r="C46" i="9"/>
  <c r="B46" i="9"/>
  <c r="B47" i="9" s="1"/>
  <c r="I41" i="9"/>
  <c r="N41" i="9" s="1"/>
  <c r="L40" i="9"/>
  <c r="K40" i="9"/>
  <c r="I40" i="9"/>
  <c r="H40" i="9"/>
  <c r="G40" i="9"/>
  <c r="F40" i="9"/>
  <c r="E40" i="9"/>
  <c r="D40" i="9"/>
  <c r="C40" i="9"/>
  <c r="B40" i="9"/>
  <c r="N39" i="9"/>
  <c r="M39" i="9"/>
  <c r="M40" i="9" s="1"/>
  <c r="J39" i="9"/>
  <c r="J40" i="9" s="1"/>
  <c r="N38" i="9"/>
  <c r="L37" i="9"/>
  <c r="J37" i="9"/>
  <c r="I37" i="9"/>
  <c r="G37" i="9"/>
  <c r="E37" i="9"/>
  <c r="N36" i="9"/>
  <c r="G36" i="9"/>
  <c r="M35" i="9"/>
  <c r="K35" i="9"/>
  <c r="K37" i="9" s="1"/>
  <c r="J35" i="9"/>
  <c r="I35" i="9"/>
  <c r="H35" i="9"/>
  <c r="H37" i="9" s="1"/>
  <c r="G35" i="9"/>
  <c r="F35" i="9"/>
  <c r="F37" i="9" s="1"/>
  <c r="D35" i="9"/>
  <c r="N35" i="9" s="1"/>
  <c r="M34" i="9"/>
  <c r="M37" i="9" s="1"/>
  <c r="E34" i="9"/>
  <c r="D34" i="9"/>
  <c r="C34" i="9"/>
  <c r="C37" i="9" s="1"/>
  <c r="B34" i="9"/>
  <c r="N34" i="9" s="1"/>
  <c r="N33" i="9"/>
  <c r="F32" i="9"/>
  <c r="D32" i="9"/>
  <c r="M31" i="9"/>
  <c r="K31" i="9"/>
  <c r="I31" i="9"/>
  <c r="I32" i="9" s="1"/>
  <c r="G31" i="9"/>
  <c r="F31" i="9"/>
  <c r="D31" i="9"/>
  <c r="C31" i="9"/>
  <c r="B31" i="9"/>
  <c r="N31" i="9" s="1"/>
  <c r="M30" i="9"/>
  <c r="L30" i="9"/>
  <c r="L32" i="9" s="1"/>
  <c r="K30" i="9"/>
  <c r="J30" i="9"/>
  <c r="H30" i="9"/>
  <c r="G30" i="9"/>
  <c r="F30" i="9"/>
  <c r="E30" i="9"/>
  <c r="D30" i="9"/>
  <c r="C30" i="9"/>
  <c r="N30" i="9" s="1"/>
  <c r="B30" i="9"/>
  <c r="M29" i="9"/>
  <c r="L29" i="9"/>
  <c r="K29" i="9"/>
  <c r="J29" i="9"/>
  <c r="J32" i="9" s="1"/>
  <c r="I29" i="9"/>
  <c r="H29" i="9"/>
  <c r="H32" i="9" s="1"/>
  <c r="G29" i="9"/>
  <c r="F29" i="9"/>
  <c r="N29" i="9" s="1"/>
  <c r="E29" i="9"/>
  <c r="D29" i="9"/>
  <c r="C29" i="9"/>
  <c r="B29" i="9"/>
  <c r="M28" i="9"/>
  <c r="M32" i="9" s="1"/>
  <c r="L28" i="9"/>
  <c r="K28" i="9"/>
  <c r="K32" i="9" s="1"/>
  <c r="I28" i="9"/>
  <c r="H28" i="9"/>
  <c r="G28" i="9"/>
  <c r="G32" i="9" s="1"/>
  <c r="E28" i="9"/>
  <c r="E32" i="9" s="1"/>
  <c r="D28" i="9"/>
  <c r="C28" i="9"/>
  <c r="C32" i="9" s="1"/>
  <c r="B28" i="9"/>
  <c r="B32" i="9" s="1"/>
  <c r="N27" i="9"/>
  <c r="M26" i="9"/>
  <c r="L26" i="9"/>
  <c r="J26" i="9"/>
  <c r="N26" i="9" s="1"/>
  <c r="M25" i="9"/>
  <c r="L25" i="9"/>
  <c r="K25" i="9"/>
  <c r="J25" i="9"/>
  <c r="I25" i="9"/>
  <c r="H25" i="9"/>
  <c r="G25" i="9"/>
  <c r="F25" i="9"/>
  <c r="E25" i="9"/>
  <c r="D25" i="9"/>
  <c r="C25" i="9"/>
  <c r="B25" i="9"/>
  <c r="N25" i="9" s="1"/>
  <c r="L24" i="9"/>
  <c r="K24" i="9"/>
  <c r="J24" i="9"/>
  <c r="G24" i="9"/>
  <c r="N24" i="9" s="1"/>
  <c r="B24" i="9"/>
  <c r="J23" i="9"/>
  <c r="H23" i="9"/>
  <c r="F23" i="9"/>
  <c r="C23" i="9"/>
  <c r="B22" i="9"/>
  <c r="N22" i="9" s="1"/>
  <c r="G21" i="9"/>
  <c r="D21" i="9"/>
  <c r="C21" i="9"/>
  <c r="N21" i="9" s="1"/>
  <c r="M20" i="9"/>
  <c r="M23" i="9" s="1"/>
  <c r="L20" i="9"/>
  <c r="L23" i="9" s="1"/>
  <c r="K20" i="9"/>
  <c r="K23" i="9" s="1"/>
  <c r="J20" i="9"/>
  <c r="I20" i="9"/>
  <c r="I23" i="9" s="1"/>
  <c r="G20" i="9"/>
  <c r="G23" i="9" s="1"/>
  <c r="F20" i="9"/>
  <c r="E20" i="9"/>
  <c r="E23" i="9" s="1"/>
  <c r="D20" i="9"/>
  <c r="D23" i="9" s="1"/>
  <c r="C20" i="9"/>
  <c r="B20" i="9"/>
  <c r="N20" i="9" s="1"/>
  <c r="N19" i="9"/>
  <c r="N18" i="9"/>
  <c r="G18" i="9"/>
  <c r="B17" i="9"/>
  <c r="N17" i="9" s="1"/>
  <c r="M16" i="9"/>
  <c r="L16" i="9"/>
  <c r="K16" i="9"/>
  <c r="J16" i="9"/>
  <c r="J43" i="9" s="1"/>
  <c r="I16" i="9"/>
  <c r="H16" i="9"/>
  <c r="G16" i="9"/>
  <c r="F16" i="9"/>
  <c r="E16" i="9"/>
  <c r="E43" i="9" s="1"/>
  <c r="D16" i="9"/>
  <c r="C16" i="9"/>
  <c r="C43" i="9" s="1"/>
  <c r="B16" i="9"/>
  <c r="N15" i="9"/>
  <c r="G15" i="9"/>
  <c r="N14" i="9"/>
  <c r="N13" i="9"/>
  <c r="I13" i="9"/>
  <c r="I43" i="9" s="1"/>
  <c r="J9" i="9"/>
  <c r="J10" i="9" s="1"/>
  <c r="J11" i="9" s="1"/>
  <c r="H9" i="9"/>
  <c r="H10" i="9" s="1"/>
  <c r="H11" i="9" s="1"/>
  <c r="F9" i="9"/>
  <c r="F10" i="9" s="1"/>
  <c r="F11" i="9" s="1"/>
  <c r="B9" i="9"/>
  <c r="B10" i="9" s="1"/>
  <c r="M8" i="9"/>
  <c r="M9" i="9" s="1"/>
  <c r="M10" i="9" s="1"/>
  <c r="M11" i="9" s="1"/>
  <c r="L8" i="9"/>
  <c r="L9" i="9" s="1"/>
  <c r="L10" i="9" s="1"/>
  <c r="L11" i="9" s="1"/>
  <c r="K8" i="9"/>
  <c r="K9" i="9" s="1"/>
  <c r="K10" i="9" s="1"/>
  <c r="K11" i="9" s="1"/>
  <c r="J8" i="9"/>
  <c r="I8" i="9"/>
  <c r="I9" i="9" s="1"/>
  <c r="I10" i="9" s="1"/>
  <c r="I11" i="9" s="1"/>
  <c r="I44" i="9" s="1"/>
  <c r="I49" i="9" s="1"/>
  <c r="H8" i="9"/>
  <c r="G8" i="9"/>
  <c r="G9" i="9" s="1"/>
  <c r="G10" i="9" s="1"/>
  <c r="G11" i="9" s="1"/>
  <c r="F8" i="9"/>
  <c r="E8" i="9"/>
  <c r="E9" i="9" s="1"/>
  <c r="E10" i="9" s="1"/>
  <c r="E11" i="9" s="1"/>
  <c r="D8" i="9"/>
  <c r="D9" i="9" s="1"/>
  <c r="D10" i="9" s="1"/>
  <c r="D11" i="9" s="1"/>
  <c r="C8" i="9"/>
  <c r="C9" i="9" s="1"/>
  <c r="B8" i="9"/>
  <c r="N8" i="9" s="1"/>
  <c r="N7" i="9"/>
  <c r="H49" i="8"/>
  <c r="F49" i="8"/>
  <c r="M48" i="8"/>
  <c r="M49" i="8" s="1"/>
  <c r="L48" i="8"/>
  <c r="L49" i="8" s="1"/>
  <c r="K48" i="8"/>
  <c r="K49" i="8" s="1"/>
  <c r="J48" i="8"/>
  <c r="J49" i="8" s="1"/>
  <c r="I48" i="8"/>
  <c r="I49" i="8" s="1"/>
  <c r="H48" i="8"/>
  <c r="G48" i="8"/>
  <c r="G49" i="8" s="1"/>
  <c r="F48" i="8"/>
  <c r="E48" i="8"/>
  <c r="E49" i="8" s="1"/>
  <c r="C48" i="8"/>
  <c r="C49" i="8" s="1"/>
  <c r="E47" i="8"/>
  <c r="D47" i="8"/>
  <c r="D48" i="8" s="1"/>
  <c r="D49" i="8" s="1"/>
  <c r="C47" i="8"/>
  <c r="B47" i="8"/>
  <c r="B48" i="8" s="1"/>
  <c r="N43" i="8"/>
  <c r="K42" i="8"/>
  <c r="J42" i="8"/>
  <c r="I42" i="8"/>
  <c r="B42" i="8"/>
  <c r="N42" i="8" s="1"/>
  <c r="M41" i="8"/>
  <c r="L41" i="8"/>
  <c r="K41" i="8"/>
  <c r="J41" i="8"/>
  <c r="I41" i="8"/>
  <c r="H41" i="8"/>
  <c r="F41" i="8"/>
  <c r="E41" i="8"/>
  <c r="D41" i="8"/>
  <c r="C41" i="8"/>
  <c r="B41" i="8"/>
  <c r="M40" i="8"/>
  <c r="G40" i="8"/>
  <c r="G41" i="8" s="1"/>
  <c r="N39" i="8"/>
  <c r="L38" i="8"/>
  <c r="B38" i="8"/>
  <c r="M37" i="8"/>
  <c r="G37" i="8"/>
  <c r="C37" i="8"/>
  <c r="N37" i="8" s="1"/>
  <c r="M36" i="8"/>
  <c r="M38" i="8" s="1"/>
  <c r="K36" i="8"/>
  <c r="K38" i="8" s="1"/>
  <c r="J36" i="8"/>
  <c r="J38" i="8" s="1"/>
  <c r="I36" i="8"/>
  <c r="I38" i="8" s="1"/>
  <c r="H36" i="8"/>
  <c r="H38" i="8" s="1"/>
  <c r="G36" i="8"/>
  <c r="G38" i="8" s="1"/>
  <c r="F36" i="8"/>
  <c r="F38" i="8" s="1"/>
  <c r="E36" i="8"/>
  <c r="E38" i="8" s="1"/>
  <c r="C36" i="8"/>
  <c r="N36" i="8" s="1"/>
  <c r="D35" i="8"/>
  <c r="D38" i="8" s="1"/>
  <c r="N34" i="8"/>
  <c r="L33" i="8"/>
  <c r="F33" i="8"/>
  <c r="D33" i="8"/>
  <c r="M32" i="8"/>
  <c r="L32" i="8"/>
  <c r="K32" i="8"/>
  <c r="J32" i="8"/>
  <c r="I32" i="8"/>
  <c r="H32" i="8"/>
  <c r="E32" i="8"/>
  <c r="D32" i="8"/>
  <c r="C32" i="8"/>
  <c r="N32" i="8" s="1"/>
  <c r="M31" i="8"/>
  <c r="L31" i="8"/>
  <c r="K31" i="8"/>
  <c r="J31" i="8"/>
  <c r="I31" i="8"/>
  <c r="H31" i="8"/>
  <c r="G31" i="8"/>
  <c r="F31" i="8"/>
  <c r="E31" i="8"/>
  <c r="D31" i="8"/>
  <c r="C31" i="8"/>
  <c r="B31" i="8"/>
  <c r="N31" i="8" s="1"/>
  <c r="M30" i="8"/>
  <c r="K30" i="8"/>
  <c r="H30" i="8"/>
  <c r="G30" i="8"/>
  <c r="G33" i="8" s="1"/>
  <c r="F30" i="8"/>
  <c r="E30" i="8"/>
  <c r="E33" i="8" s="1"/>
  <c r="D30" i="8"/>
  <c r="C30" i="8"/>
  <c r="B30" i="8"/>
  <c r="B33" i="8" s="1"/>
  <c r="M29" i="8"/>
  <c r="M33" i="8" s="1"/>
  <c r="K29" i="8"/>
  <c r="K33" i="8" s="1"/>
  <c r="J29" i="8"/>
  <c r="J33" i="8" s="1"/>
  <c r="I29" i="8"/>
  <c r="I33" i="8" s="1"/>
  <c r="H29" i="8"/>
  <c r="H33" i="8" s="1"/>
  <c r="F29" i="8"/>
  <c r="D29" i="8"/>
  <c r="C29" i="8"/>
  <c r="C33" i="8" s="1"/>
  <c r="N28" i="8"/>
  <c r="N27" i="8"/>
  <c r="I27" i="8"/>
  <c r="E27" i="8"/>
  <c r="D27" i="8"/>
  <c r="B27" i="8"/>
  <c r="M26" i="8"/>
  <c r="L26" i="8"/>
  <c r="K26" i="8"/>
  <c r="J26" i="8"/>
  <c r="I26" i="8"/>
  <c r="H26" i="8"/>
  <c r="G26" i="8"/>
  <c r="F26" i="8"/>
  <c r="E26" i="8"/>
  <c r="D26" i="8"/>
  <c r="C26" i="8"/>
  <c r="N26" i="8" s="1"/>
  <c r="B26" i="8"/>
  <c r="N22" i="8"/>
  <c r="I22" i="8"/>
  <c r="H22" i="8"/>
  <c r="G22" i="8"/>
  <c r="D22" i="8"/>
  <c r="M21" i="8"/>
  <c r="K21" i="8"/>
  <c r="F21" i="8"/>
  <c r="E21" i="8"/>
  <c r="C21" i="8"/>
  <c r="M20" i="8"/>
  <c r="L20" i="8"/>
  <c r="L21" i="8" s="1"/>
  <c r="L44" i="8" s="1"/>
  <c r="K20" i="8"/>
  <c r="J20" i="8"/>
  <c r="J21" i="8" s="1"/>
  <c r="I20" i="8"/>
  <c r="I21" i="8" s="1"/>
  <c r="H20" i="8"/>
  <c r="H21" i="8" s="1"/>
  <c r="G20" i="8"/>
  <c r="G21" i="8" s="1"/>
  <c r="F20" i="8"/>
  <c r="E20" i="8"/>
  <c r="D20" i="8"/>
  <c r="D21" i="8" s="1"/>
  <c r="D44" i="8" s="1"/>
  <c r="C20" i="8"/>
  <c r="B20" i="8"/>
  <c r="B21" i="8" s="1"/>
  <c r="N19" i="8"/>
  <c r="M18" i="8"/>
  <c r="L18" i="8"/>
  <c r="K18" i="8"/>
  <c r="I18" i="8"/>
  <c r="I44" i="8" s="1"/>
  <c r="G18" i="8"/>
  <c r="G44" i="8" s="1"/>
  <c r="E18" i="8"/>
  <c r="N18" i="8" s="1"/>
  <c r="C14" i="8"/>
  <c r="K10" i="8"/>
  <c r="K11" i="8" s="1"/>
  <c r="K12" i="8" s="1"/>
  <c r="I10" i="8"/>
  <c r="I11" i="8" s="1"/>
  <c r="I12" i="8" s="1"/>
  <c r="C10" i="8"/>
  <c r="C11" i="8" s="1"/>
  <c r="C12" i="8" s="1"/>
  <c r="N9" i="8"/>
  <c r="I9" i="8"/>
  <c r="M8" i="8"/>
  <c r="M10" i="8" s="1"/>
  <c r="M11" i="8" s="1"/>
  <c r="M12" i="8" s="1"/>
  <c r="L8" i="8"/>
  <c r="L10" i="8" s="1"/>
  <c r="L11" i="8" s="1"/>
  <c r="L12" i="8" s="1"/>
  <c r="L45" i="8" s="1"/>
  <c r="L50" i="8" s="1"/>
  <c r="K8" i="8"/>
  <c r="J8" i="8"/>
  <c r="J10" i="8" s="1"/>
  <c r="J11" i="8" s="1"/>
  <c r="J12" i="8" s="1"/>
  <c r="I8" i="8"/>
  <c r="H8" i="8"/>
  <c r="H10" i="8" s="1"/>
  <c r="H11" i="8" s="1"/>
  <c r="H12" i="8" s="1"/>
  <c r="G8" i="8"/>
  <c r="G10" i="8" s="1"/>
  <c r="G11" i="8" s="1"/>
  <c r="G12" i="8" s="1"/>
  <c r="F8" i="8"/>
  <c r="F10" i="8" s="1"/>
  <c r="F11" i="8" s="1"/>
  <c r="F12" i="8" s="1"/>
  <c r="E8" i="8"/>
  <c r="E10" i="8" s="1"/>
  <c r="E11" i="8" s="1"/>
  <c r="E12" i="8" s="1"/>
  <c r="D8" i="8"/>
  <c r="D10" i="8" s="1"/>
  <c r="D11" i="8" s="1"/>
  <c r="D12" i="8" s="1"/>
  <c r="D45" i="8" s="1"/>
  <c r="D50" i="8" s="1"/>
  <c r="C8" i="8"/>
  <c r="B8" i="8"/>
  <c r="B10" i="8" s="1"/>
  <c r="N7" i="8"/>
  <c r="M47" i="7"/>
  <c r="K47" i="7"/>
  <c r="E47" i="7"/>
  <c r="C47" i="7"/>
  <c r="M46" i="7"/>
  <c r="L46" i="7"/>
  <c r="L47" i="7" s="1"/>
  <c r="K46" i="7"/>
  <c r="J46" i="7"/>
  <c r="J47" i="7" s="1"/>
  <c r="I46" i="7"/>
  <c r="I47" i="7" s="1"/>
  <c r="H46" i="7"/>
  <c r="H47" i="7" s="1"/>
  <c r="G46" i="7"/>
  <c r="G47" i="7" s="1"/>
  <c r="F46" i="7"/>
  <c r="F47" i="7" s="1"/>
  <c r="E46" i="7"/>
  <c r="D46" i="7"/>
  <c r="D47" i="7" s="1"/>
  <c r="C46" i="7"/>
  <c r="B46" i="7"/>
  <c r="B47" i="7" s="1"/>
  <c r="B45" i="7"/>
  <c r="N45" i="7" s="1"/>
  <c r="N41" i="7"/>
  <c r="H40" i="7"/>
  <c r="G40" i="7"/>
  <c r="N40" i="7" s="1"/>
  <c r="F40" i="7"/>
  <c r="M39" i="7"/>
  <c r="L39" i="7"/>
  <c r="K39" i="7"/>
  <c r="I39" i="7"/>
  <c r="H39" i="7"/>
  <c r="G39" i="7"/>
  <c r="F39" i="7"/>
  <c r="N39" i="7" s="1"/>
  <c r="E39" i="7"/>
  <c r="D39" i="7"/>
  <c r="C39" i="7"/>
  <c r="B39" i="7"/>
  <c r="J38" i="7"/>
  <c r="J39" i="7" s="1"/>
  <c r="D38" i="7"/>
  <c r="N38" i="7" s="1"/>
  <c r="N37" i="7"/>
  <c r="K36" i="7"/>
  <c r="I36" i="7"/>
  <c r="G36" i="7"/>
  <c r="J35" i="7"/>
  <c r="D35" i="7"/>
  <c r="N35" i="7" s="1"/>
  <c r="J34" i="7"/>
  <c r="J36" i="7" s="1"/>
  <c r="H34" i="7"/>
  <c r="H36" i="7" s="1"/>
  <c r="G34" i="7"/>
  <c r="F34" i="7"/>
  <c r="F36" i="7" s="1"/>
  <c r="E34" i="7"/>
  <c r="E36" i="7" s="1"/>
  <c r="D34" i="7"/>
  <c r="C34" i="7"/>
  <c r="C36" i="7" s="1"/>
  <c r="B34" i="7"/>
  <c r="N34" i="7" s="1"/>
  <c r="N33" i="7"/>
  <c r="M33" i="7"/>
  <c r="M36" i="7" s="1"/>
  <c r="L33" i="7"/>
  <c r="L36" i="7" s="1"/>
  <c r="N32" i="7"/>
  <c r="F31" i="7"/>
  <c r="D31" i="7"/>
  <c r="M30" i="7"/>
  <c r="L30" i="7"/>
  <c r="J30" i="7"/>
  <c r="I30" i="7"/>
  <c r="H30" i="7"/>
  <c r="G30" i="7"/>
  <c r="F30" i="7"/>
  <c r="E30" i="7"/>
  <c r="B30" i="7"/>
  <c r="N30" i="7" s="1"/>
  <c r="M29" i="7"/>
  <c r="L29" i="7"/>
  <c r="K29" i="7"/>
  <c r="J29" i="7"/>
  <c r="I29" i="7"/>
  <c r="I31" i="7" s="1"/>
  <c r="H29" i="7"/>
  <c r="G29" i="7"/>
  <c r="F29" i="7"/>
  <c r="E29" i="7"/>
  <c r="D29" i="7"/>
  <c r="C29" i="7"/>
  <c r="B29" i="7"/>
  <c r="N29" i="7" s="1"/>
  <c r="M28" i="7"/>
  <c r="L28" i="7"/>
  <c r="K28" i="7"/>
  <c r="J28" i="7"/>
  <c r="H28" i="7"/>
  <c r="E28" i="7"/>
  <c r="D28" i="7"/>
  <c r="C28" i="7"/>
  <c r="N28" i="7" s="1"/>
  <c r="B28" i="7"/>
  <c r="B31" i="7" s="1"/>
  <c r="M27" i="7"/>
  <c r="M31" i="7" s="1"/>
  <c r="L27" i="7"/>
  <c r="L31" i="7" s="1"/>
  <c r="K27" i="7"/>
  <c r="K31" i="7" s="1"/>
  <c r="J27" i="7"/>
  <c r="J31" i="7" s="1"/>
  <c r="H27" i="7"/>
  <c r="H31" i="7" s="1"/>
  <c r="G27" i="7"/>
  <c r="G31" i="7" s="1"/>
  <c r="F27" i="7"/>
  <c r="E27" i="7"/>
  <c r="E31" i="7" s="1"/>
  <c r="C27" i="7"/>
  <c r="C31" i="7" s="1"/>
  <c r="N26" i="7"/>
  <c r="F25" i="7"/>
  <c r="B25" i="7"/>
  <c r="N25" i="7" s="1"/>
  <c r="M24" i="7"/>
  <c r="L24" i="7"/>
  <c r="K24" i="7"/>
  <c r="J24" i="7"/>
  <c r="I24" i="7"/>
  <c r="H24" i="7"/>
  <c r="G24" i="7"/>
  <c r="F24" i="7"/>
  <c r="E24" i="7"/>
  <c r="D24" i="7"/>
  <c r="C24" i="7"/>
  <c r="B24" i="7"/>
  <c r="N24" i="7" s="1"/>
  <c r="F23" i="7"/>
  <c r="E23" i="7"/>
  <c r="D23" i="7"/>
  <c r="N23" i="7" s="1"/>
  <c r="K22" i="7"/>
  <c r="I22" i="7"/>
  <c r="C22" i="7"/>
  <c r="N21" i="7"/>
  <c r="L21" i="7"/>
  <c r="M20" i="7"/>
  <c r="M22" i="7" s="1"/>
  <c r="L20" i="7"/>
  <c r="L22" i="7" s="1"/>
  <c r="K20" i="7"/>
  <c r="J20" i="7"/>
  <c r="J22" i="7" s="1"/>
  <c r="I20" i="7"/>
  <c r="H20" i="7"/>
  <c r="H22" i="7" s="1"/>
  <c r="G20" i="7"/>
  <c r="G22" i="7" s="1"/>
  <c r="F20" i="7"/>
  <c r="F22" i="7" s="1"/>
  <c r="F42" i="7" s="1"/>
  <c r="E20" i="7"/>
  <c r="E22" i="7" s="1"/>
  <c r="D20" i="7"/>
  <c r="D22" i="7" s="1"/>
  <c r="C20" i="7"/>
  <c r="B20" i="7"/>
  <c r="B22" i="7" s="1"/>
  <c r="N19" i="7"/>
  <c r="N18" i="7"/>
  <c r="J18" i="7"/>
  <c r="I18" i="7"/>
  <c r="H18" i="7"/>
  <c r="F18" i="7"/>
  <c r="D18" i="7"/>
  <c r="B18" i="7"/>
  <c r="M17" i="7"/>
  <c r="L17" i="7"/>
  <c r="J17" i="7"/>
  <c r="J42" i="7" s="1"/>
  <c r="I17" i="7"/>
  <c r="I42" i="7" s="1"/>
  <c r="H17" i="7"/>
  <c r="H42" i="7" s="1"/>
  <c r="G17" i="7"/>
  <c r="F17" i="7"/>
  <c r="E17" i="7"/>
  <c r="D17" i="7"/>
  <c r="C17" i="7"/>
  <c r="B17" i="7"/>
  <c r="M16" i="7"/>
  <c r="K16" i="7"/>
  <c r="K17" i="7" s="1"/>
  <c r="K42" i="7" s="1"/>
  <c r="N15" i="7"/>
  <c r="N14" i="7"/>
  <c r="L14" i="7"/>
  <c r="K9" i="7"/>
  <c r="F9" i="7"/>
  <c r="N9" i="7" s="1"/>
  <c r="M8" i="7"/>
  <c r="M10" i="7" s="1"/>
  <c r="M11" i="7" s="1"/>
  <c r="M12" i="7" s="1"/>
  <c r="L8" i="7"/>
  <c r="L10" i="7" s="1"/>
  <c r="L11" i="7" s="1"/>
  <c r="L12" i="7" s="1"/>
  <c r="K8" i="7"/>
  <c r="K10" i="7" s="1"/>
  <c r="K11" i="7" s="1"/>
  <c r="K12" i="7" s="1"/>
  <c r="K43" i="7" s="1"/>
  <c r="K48" i="7" s="1"/>
  <c r="J8" i="7"/>
  <c r="J10" i="7" s="1"/>
  <c r="J11" i="7" s="1"/>
  <c r="J12" i="7" s="1"/>
  <c r="I8" i="7"/>
  <c r="I10" i="7" s="1"/>
  <c r="I11" i="7" s="1"/>
  <c r="I12" i="7" s="1"/>
  <c r="H8" i="7"/>
  <c r="H10" i="7" s="1"/>
  <c r="H11" i="7" s="1"/>
  <c r="H12" i="7" s="1"/>
  <c r="G8" i="7"/>
  <c r="G10" i="7" s="1"/>
  <c r="G11" i="7" s="1"/>
  <c r="G12" i="7" s="1"/>
  <c r="F8" i="7"/>
  <c r="F10" i="7" s="1"/>
  <c r="F11" i="7" s="1"/>
  <c r="F12" i="7" s="1"/>
  <c r="E8" i="7"/>
  <c r="E10" i="7" s="1"/>
  <c r="E11" i="7" s="1"/>
  <c r="E12" i="7" s="1"/>
  <c r="D8" i="7"/>
  <c r="D10" i="7" s="1"/>
  <c r="D11" i="7" s="1"/>
  <c r="D12" i="7" s="1"/>
  <c r="C8" i="7"/>
  <c r="C10" i="7" s="1"/>
  <c r="C11" i="7" s="1"/>
  <c r="C12" i="7" s="1"/>
  <c r="B8" i="7"/>
  <c r="B10" i="7" s="1"/>
  <c r="N7" i="7"/>
  <c r="L59" i="6"/>
  <c r="L60" i="6" s="1"/>
  <c r="J59" i="6"/>
  <c r="J60" i="6" s="1"/>
  <c r="D59" i="6"/>
  <c r="D60" i="6" s="1"/>
  <c r="B59" i="6"/>
  <c r="B60" i="6" s="1"/>
  <c r="M58" i="6"/>
  <c r="M59" i="6" s="1"/>
  <c r="M60" i="6" s="1"/>
  <c r="L58" i="6"/>
  <c r="K58" i="6"/>
  <c r="K59" i="6" s="1"/>
  <c r="K60" i="6" s="1"/>
  <c r="J58" i="6"/>
  <c r="I58" i="6"/>
  <c r="I59" i="6" s="1"/>
  <c r="I60" i="6" s="1"/>
  <c r="G58" i="6"/>
  <c r="G59" i="6" s="1"/>
  <c r="G60" i="6" s="1"/>
  <c r="F58" i="6"/>
  <c r="F59" i="6" s="1"/>
  <c r="F60" i="6" s="1"/>
  <c r="E58" i="6"/>
  <c r="E59" i="6" s="1"/>
  <c r="E60" i="6" s="1"/>
  <c r="D58" i="6"/>
  <c r="C58" i="6"/>
  <c r="C59" i="6" s="1"/>
  <c r="C60" i="6" s="1"/>
  <c r="B58" i="6"/>
  <c r="I57" i="6"/>
  <c r="H57" i="6"/>
  <c r="N57" i="6" s="1"/>
  <c r="G57" i="6"/>
  <c r="N56" i="6"/>
  <c r="M52" i="6"/>
  <c r="L52" i="6"/>
  <c r="K52" i="6"/>
  <c r="J52" i="6"/>
  <c r="I52" i="6"/>
  <c r="H52" i="6"/>
  <c r="D52" i="6"/>
  <c r="N52" i="6" s="1"/>
  <c r="M51" i="6"/>
  <c r="L51" i="6"/>
  <c r="K51" i="6"/>
  <c r="J51" i="6"/>
  <c r="I51" i="6"/>
  <c r="H51" i="6"/>
  <c r="G51" i="6"/>
  <c r="F51" i="6"/>
  <c r="E51" i="6"/>
  <c r="D51" i="6"/>
  <c r="C51" i="6"/>
  <c r="B51" i="6"/>
  <c r="N51" i="6" s="1"/>
  <c r="N50" i="6"/>
  <c r="N49" i="6"/>
  <c r="L48" i="6"/>
  <c r="K48" i="6"/>
  <c r="J48" i="6"/>
  <c r="H48" i="6"/>
  <c r="G48" i="6"/>
  <c r="F48" i="6"/>
  <c r="E48" i="6"/>
  <c r="D48" i="6"/>
  <c r="C48" i="6"/>
  <c r="B48" i="6"/>
  <c r="L47" i="6"/>
  <c r="N47" i="6" s="1"/>
  <c r="M46" i="6"/>
  <c r="M48" i="6" s="1"/>
  <c r="J46" i="6"/>
  <c r="I46" i="6"/>
  <c r="I48" i="6" s="1"/>
  <c r="N45" i="6"/>
  <c r="N44" i="6"/>
  <c r="F44" i="6"/>
  <c r="N43" i="6"/>
  <c r="I43" i="6"/>
  <c r="N42" i="6"/>
  <c r="M42" i="6"/>
  <c r="L41" i="6"/>
  <c r="F41" i="6"/>
  <c r="D41" i="6"/>
  <c r="N40" i="6"/>
  <c r="G40" i="6"/>
  <c r="M39" i="6"/>
  <c r="D39" i="6"/>
  <c r="C39" i="6"/>
  <c r="B39" i="6"/>
  <c r="N39" i="6" s="1"/>
  <c r="L38" i="6"/>
  <c r="K38" i="6"/>
  <c r="J38" i="6"/>
  <c r="I38" i="6"/>
  <c r="H38" i="6"/>
  <c r="G38" i="6"/>
  <c r="F38" i="6"/>
  <c r="D38" i="6"/>
  <c r="N38" i="6" s="1"/>
  <c r="M37" i="6"/>
  <c r="M41" i="6" s="1"/>
  <c r="L37" i="6"/>
  <c r="K37" i="6"/>
  <c r="K41" i="6" s="1"/>
  <c r="J37" i="6"/>
  <c r="J41" i="6" s="1"/>
  <c r="I37" i="6"/>
  <c r="I41" i="6" s="1"/>
  <c r="H37" i="6"/>
  <c r="H41" i="6" s="1"/>
  <c r="G37" i="6"/>
  <c r="G41" i="6" s="1"/>
  <c r="F37" i="6"/>
  <c r="E37" i="6"/>
  <c r="E41" i="6" s="1"/>
  <c r="D37" i="6"/>
  <c r="C37" i="6"/>
  <c r="C41" i="6" s="1"/>
  <c r="B37" i="6"/>
  <c r="B41" i="6" s="1"/>
  <c r="N36" i="6"/>
  <c r="M34" i="6"/>
  <c r="K34" i="6"/>
  <c r="J34" i="6"/>
  <c r="I34" i="6"/>
  <c r="H34" i="6"/>
  <c r="G34" i="6"/>
  <c r="F34" i="6"/>
  <c r="D34" i="6"/>
  <c r="C34" i="6"/>
  <c r="B34" i="6"/>
  <c r="N34" i="6" s="1"/>
  <c r="L33" i="6"/>
  <c r="F33" i="6"/>
  <c r="N33" i="6" s="1"/>
  <c r="M32" i="6"/>
  <c r="L32" i="6"/>
  <c r="K32" i="6"/>
  <c r="J32" i="6"/>
  <c r="I32" i="6"/>
  <c r="H32" i="6"/>
  <c r="G32" i="6"/>
  <c r="F32" i="6"/>
  <c r="E32" i="6"/>
  <c r="D32" i="6"/>
  <c r="C32" i="6"/>
  <c r="B32" i="6"/>
  <c r="N32" i="6" s="1"/>
  <c r="M31" i="6"/>
  <c r="L31" i="6"/>
  <c r="K31" i="6"/>
  <c r="J31" i="6"/>
  <c r="I31" i="6"/>
  <c r="I35" i="6" s="1"/>
  <c r="H31" i="6"/>
  <c r="G31" i="6"/>
  <c r="G35" i="6" s="1"/>
  <c r="F31" i="6"/>
  <c r="E31" i="6"/>
  <c r="D31" i="6"/>
  <c r="C31" i="6"/>
  <c r="B31" i="6"/>
  <c r="N31" i="6" s="1"/>
  <c r="M30" i="6"/>
  <c r="M35" i="6" s="1"/>
  <c r="L30" i="6"/>
  <c r="L35" i="6" s="1"/>
  <c r="K30" i="6"/>
  <c r="K35" i="6" s="1"/>
  <c r="J30" i="6"/>
  <c r="J35" i="6" s="1"/>
  <c r="I30" i="6"/>
  <c r="H30" i="6"/>
  <c r="H35" i="6" s="1"/>
  <c r="G30" i="6"/>
  <c r="F30" i="6"/>
  <c r="F35" i="6" s="1"/>
  <c r="E30" i="6"/>
  <c r="E35" i="6" s="1"/>
  <c r="D30" i="6"/>
  <c r="N30" i="6" s="1"/>
  <c r="C30" i="6"/>
  <c r="C35" i="6" s="1"/>
  <c r="B30" i="6"/>
  <c r="B35" i="6" s="1"/>
  <c r="N29" i="6"/>
  <c r="L28" i="6"/>
  <c r="E28" i="6"/>
  <c r="C28" i="6"/>
  <c r="N28" i="6" s="1"/>
  <c r="M27" i="6"/>
  <c r="L27" i="6"/>
  <c r="K27" i="6"/>
  <c r="J27" i="6"/>
  <c r="I27" i="6"/>
  <c r="H27" i="6"/>
  <c r="G27" i="6"/>
  <c r="F27" i="6"/>
  <c r="N27" i="6" s="1"/>
  <c r="C27" i="6"/>
  <c r="M26" i="6"/>
  <c r="L26" i="6"/>
  <c r="K26" i="6"/>
  <c r="J26" i="6"/>
  <c r="I26" i="6"/>
  <c r="H26" i="6"/>
  <c r="F26" i="6"/>
  <c r="E26" i="6"/>
  <c r="D26" i="6"/>
  <c r="C26" i="6"/>
  <c r="B26" i="6"/>
  <c r="N26" i="6" s="1"/>
  <c r="L25" i="6"/>
  <c r="K25" i="6"/>
  <c r="I25" i="6"/>
  <c r="F25" i="6"/>
  <c r="D25" i="6"/>
  <c r="N24" i="6"/>
  <c r="C24" i="6"/>
  <c r="M23" i="6"/>
  <c r="M25" i="6" s="1"/>
  <c r="L23" i="6"/>
  <c r="J23" i="6"/>
  <c r="J25" i="6" s="1"/>
  <c r="I23" i="6"/>
  <c r="H23" i="6"/>
  <c r="H25" i="6" s="1"/>
  <c r="G23" i="6"/>
  <c r="G25" i="6" s="1"/>
  <c r="F23" i="6"/>
  <c r="E23" i="6"/>
  <c r="E25" i="6" s="1"/>
  <c r="D23" i="6"/>
  <c r="C23" i="6"/>
  <c r="C25" i="6" s="1"/>
  <c r="B23" i="6"/>
  <c r="B25" i="6" s="1"/>
  <c r="N25" i="6" s="1"/>
  <c r="N22" i="6"/>
  <c r="B21" i="6"/>
  <c r="N21" i="6" s="1"/>
  <c r="G20" i="6"/>
  <c r="N20" i="6" s="1"/>
  <c r="M19" i="6"/>
  <c r="L19" i="6"/>
  <c r="L53" i="6" s="1"/>
  <c r="K19" i="6"/>
  <c r="K53" i="6" s="1"/>
  <c r="J19" i="6"/>
  <c r="H19" i="6"/>
  <c r="F19" i="6"/>
  <c r="F53" i="6" s="1"/>
  <c r="E19" i="6"/>
  <c r="D19" i="6"/>
  <c r="C19" i="6"/>
  <c r="B19" i="6"/>
  <c r="N18" i="6"/>
  <c r="G18" i="6"/>
  <c r="G19" i="6" s="1"/>
  <c r="I17" i="6"/>
  <c r="I19" i="6" s="1"/>
  <c r="M14" i="6"/>
  <c r="L14" i="6"/>
  <c r="K14" i="6"/>
  <c r="J14" i="6"/>
  <c r="I14" i="6"/>
  <c r="H14" i="6"/>
  <c r="F14" i="6"/>
  <c r="E14" i="6"/>
  <c r="D14" i="6"/>
  <c r="C14" i="6"/>
  <c r="B14" i="6"/>
  <c r="N13" i="6"/>
  <c r="G13" i="6"/>
  <c r="G14" i="6" s="1"/>
  <c r="L10" i="6"/>
  <c r="L11" i="6" s="1"/>
  <c r="L15" i="6" s="1"/>
  <c r="L54" i="6" s="1"/>
  <c r="L61" i="6" s="1"/>
  <c r="D10" i="6"/>
  <c r="D11" i="6" s="1"/>
  <c r="D15" i="6" s="1"/>
  <c r="J9" i="6"/>
  <c r="N9" i="6" s="1"/>
  <c r="I9" i="6"/>
  <c r="M8" i="6"/>
  <c r="M10" i="6" s="1"/>
  <c r="M11" i="6" s="1"/>
  <c r="M15" i="6" s="1"/>
  <c r="L8" i="6"/>
  <c r="K8" i="6"/>
  <c r="K10" i="6" s="1"/>
  <c r="K11" i="6" s="1"/>
  <c r="K15" i="6" s="1"/>
  <c r="J8" i="6"/>
  <c r="J10" i="6" s="1"/>
  <c r="J11" i="6" s="1"/>
  <c r="J15" i="6" s="1"/>
  <c r="I8" i="6"/>
  <c r="I10" i="6" s="1"/>
  <c r="I11" i="6" s="1"/>
  <c r="I15" i="6" s="1"/>
  <c r="H8" i="6"/>
  <c r="H10" i="6" s="1"/>
  <c r="H11" i="6" s="1"/>
  <c r="H15" i="6" s="1"/>
  <c r="G8" i="6"/>
  <c r="G10" i="6" s="1"/>
  <c r="G11" i="6" s="1"/>
  <c r="G15" i="6" s="1"/>
  <c r="F8" i="6"/>
  <c r="F10" i="6" s="1"/>
  <c r="F11" i="6" s="1"/>
  <c r="F15" i="6" s="1"/>
  <c r="F54" i="6" s="1"/>
  <c r="F61" i="6" s="1"/>
  <c r="E8" i="6"/>
  <c r="E10" i="6" s="1"/>
  <c r="E11" i="6" s="1"/>
  <c r="E15" i="6" s="1"/>
  <c r="D8" i="6"/>
  <c r="N8" i="6" s="1"/>
  <c r="C8" i="6"/>
  <c r="C10" i="6" s="1"/>
  <c r="C11" i="6" s="1"/>
  <c r="C15" i="6" s="1"/>
  <c r="B8" i="6"/>
  <c r="B10" i="6" s="1"/>
  <c r="N7" i="6"/>
  <c r="B51" i="5"/>
  <c r="N51" i="5" s="1"/>
  <c r="M50" i="5"/>
  <c r="L50" i="5"/>
  <c r="K50" i="5"/>
  <c r="J50" i="5"/>
  <c r="I50" i="5"/>
  <c r="H50" i="5"/>
  <c r="G50" i="5"/>
  <c r="F50" i="5"/>
  <c r="E50" i="5"/>
  <c r="D50" i="5"/>
  <c r="C50" i="5"/>
  <c r="B50" i="5"/>
  <c r="N49" i="5"/>
  <c r="N48" i="5"/>
  <c r="M47" i="5"/>
  <c r="L47" i="5"/>
  <c r="K47" i="5"/>
  <c r="J47" i="5"/>
  <c r="I47" i="5"/>
  <c r="H47" i="5"/>
  <c r="E47" i="5"/>
  <c r="D47" i="5"/>
  <c r="C47" i="5"/>
  <c r="B47" i="5"/>
  <c r="L46" i="5"/>
  <c r="N46" i="5" s="1"/>
  <c r="M45" i="5"/>
  <c r="G45" i="5"/>
  <c r="G47" i="5" s="1"/>
  <c r="F45" i="5"/>
  <c r="F47" i="5" s="1"/>
  <c r="N44" i="5"/>
  <c r="I43" i="5"/>
  <c r="B43" i="5"/>
  <c r="N42" i="5"/>
  <c r="M42" i="5"/>
  <c r="G42" i="5"/>
  <c r="C42" i="5"/>
  <c r="D41" i="5"/>
  <c r="N41" i="5" s="1"/>
  <c r="M40" i="5"/>
  <c r="K40" i="5"/>
  <c r="J40" i="5"/>
  <c r="J43" i="5" s="1"/>
  <c r="I40" i="5"/>
  <c r="H40" i="5"/>
  <c r="G40" i="5"/>
  <c r="F40" i="5"/>
  <c r="E40" i="5"/>
  <c r="C40" i="5"/>
  <c r="M39" i="5"/>
  <c r="M43" i="5" s="1"/>
  <c r="L39" i="5"/>
  <c r="L43" i="5" s="1"/>
  <c r="K39" i="5"/>
  <c r="J39" i="5"/>
  <c r="I39" i="5"/>
  <c r="H39" i="5"/>
  <c r="G39" i="5"/>
  <c r="G43" i="5" s="1"/>
  <c r="F39" i="5"/>
  <c r="F43" i="5" s="1"/>
  <c r="E39" i="5"/>
  <c r="E43" i="5" s="1"/>
  <c r="D39" i="5"/>
  <c r="D43" i="5" s="1"/>
  <c r="C39" i="5"/>
  <c r="C43" i="5" s="1"/>
  <c r="B39" i="5"/>
  <c r="N38" i="5"/>
  <c r="N36" i="5"/>
  <c r="M36" i="5"/>
  <c r="L36" i="5"/>
  <c r="K36" i="5"/>
  <c r="I36" i="5"/>
  <c r="G36" i="5"/>
  <c r="D36" i="5"/>
  <c r="C36" i="5"/>
  <c r="N35" i="5"/>
  <c r="G35" i="5"/>
  <c r="F35" i="5"/>
  <c r="M34" i="5"/>
  <c r="L34" i="5"/>
  <c r="K34" i="5"/>
  <c r="J34" i="5"/>
  <c r="I34" i="5"/>
  <c r="H34" i="5"/>
  <c r="G34" i="5"/>
  <c r="F34" i="5"/>
  <c r="E34" i="5"/>
  <c r="D34" i="5"/>
  <c r="C34" i="5"/>
  <c r="B34" i="5"/>
  <c r="M33" i="5"/>
  <c r="L33" i="5"/>
  <c r="K33" i="5"/>
  <c r="J33" i="5"/>
  <c r="I33" i="5"/>
  <c r="I37" i="5" s="1"/>
  <c r="H33" i="5"/>
  <c r="G33" i="5"/>
  <c r="G37" i="5" s="1"/>
  <c r="F33" i="5"/>
  <c r="F37" i="5" s="1"/>
  <c r="E33" i="5"/>
  <c r="D33" i="5"/>
  <c r="C33" i="5"/>
  <c r="B33" i="5"/>
  <c r="M32" i="5"/>
  <c r="M37" i="5" s="1"/>
  <c r="L32" i="5"/>
  <c r="K32" i="5"/>
  <c r="K37" i="5" s="1"/>
  <c r="J32" i="5"/>
  <c r="I32" i="5"/>
  <c r="H32" i="5"/>
  <c r="H37" i="5" s="1"/>
  <c r="E32" i="5"/>
  <c r="E37" i="5" s="1"/>
  <c r="D32" i="5"/>
  <c r="N32" i="5" s="1"/>
  <c r="C32" i="5"/>
  <c r="B32" i="5"/>
  <c r="B37" i="5" s="1"/>
  <c r="N31" i="5"/>
  <c r="I30" i="5"/>
  <c r="F30" i="5"/>
  <c r="N30" i="5" s="1"/>
  <c r="G29" i="5"/>
  <c r="E29" i="5"/>
  <c r="D29" i="5"/>
  <c r="C29" i="5"/>
  <c r="B29" i="5"/>
  <c r="G28" i="5"/>
  <c r="N28" i="5" s="1"/>
  <c r="C27" i="5"/>
  <c r="N27" i="5" s="1"/>
  <c r="M26" i="5"/>
  <c r="L26" i="5"/>
  <c r="K26" i="5"/>
  <c r="J26" i="5"/>
  <c r="I26" i="5"/>
  <c r="H26" i="5"/>
  <c r="G26" i="5"/>
  <c r="F26" i="5"/>
  <c r="E26" i="5"/>
  <c r="C26" i="5"/>
  <c r="B26" i="5"/>
  <c r="M25" i="5"/>
  <c r="G25" i="5"/>
  <c r="F25" i="5"/>
  <c r="E25" i="5"/>
  <c r="I24" i="5"/>
  <c r="N24" i="5" s="1"/>
  <c r="E24" i="5"/>
  <c r="M23" i="5"/>
  <c r="L23" i="5"/>
  <c r="L25" i="5" s="1"/>
  <c r="K23" i="5"/>
  <c r="K25" i="5" s="1"/>
  <c r="J23" i="5"/>
  <c r="J25" i="5" s="1"/>
  <c r="I23" i="5"/>
  <c r="H23" i="5"/>
  <c r="H25" i="5" s="1"/>
  <c r="G23" i="5"/>
  <c r="F23" i="5"/>
  <c r="E23" i="5"/>
  <c r="D23" i="5"/>
  <c r="D25" i="5" s="1"/>
  <c r="C23" i="5"/>
  <c r="C25" i="5" s="1"/>
  <c r="B23" i="5"/>
  <c r="B25" i="5" s="1"/>
  <c r="N22" i="5"/>
  <c r="N21" i="5"/>
  <c r="M21" i="5"/>
  <c r="L21" i="5"/>
  <c r="K21" i="5"/>
  <c r="I21" i="5"/>
  <c r="G21" i="5"/>
  <c r="I20" i="5"/>
  <c r="N20" i="5" s="1"/>
  <c r="M19" i="5"/>
  <c r="M52" i="5" s="1"/>
  <c r="L19" i="5"/>
  <c r="K19" i="5"/>
  <c r="J19" i="5"/>
  <c r="I19" i="5"/>
  <c r="H19" i="5"/>
  <c r="G19" i="5"/>
  <c r="F19" i="5"/>
  <c r="E19" i="5"/>
  <c r="E52" i="5" s="1"/>
  <c r="D19" i="5"/>
  <c r="C19" i="5"/>
  <c r="B19" i="5"/>
  <c r="N18" i="5"/>
  <c r="E18" i="5"/>
  <c r="N17" i="5"/>
  <c r="C15" i="5"/>
  <c r="J14" i="5"/>
  <c r="J15" i="5" s="1"/>
  <c r="D14" i="5"/>
  <c r="D15" i="5" s="1"/>
  <c r="K13" i="5"/>
  <c r="I13" i="5"/>
  <c r="I14" i="5" s="1"/>
  <c r="I15" i="5" s="1"/>
  <c r="H13" i="5"/>
  <c r="H14" i="5" s="1"/>
  <c r="H15" i="5" s="1"/>
  <c r="G13" i="5"/>
  <c r="D13" i="5"/>
  <c r="C13" i="5"/>
  <c r="B13" i="5"/>
  <c r="M12" i="5"/>
  <c r="M13" i="5" s="1"/>
  <c r="L12" i="5"/>
  <c r="L13" i="5" s="1"/>
  <c r="K12" i="5"/>
  <c r="J12" i="5"/>
  <c r="J13" i="5" s="1"/>
  <c r="I12" i="5"/>
  <c r="H12" i="5"/>
  <c r="G12" i="5"/>
  <c r="F12" i="5"/>
  <c r="F13" i="5" s="1"/>
  <c r="E12" i="5"/>
  <c r="E13" i="5" s="1"/>
  <c r="N11" i="5"/>
  <c r="M10" i="5"/>
  <c r="I10" i="5"/>
  <c r="H10" i="5"/>
  <c r="F10" i="5"/>
  <c r="F14" i="5" s="1"/>
  <c r="F15" i="5" s="1"/>
  <c r="E10" i="5"/>
  <c r="E14" i="5" s="1"/>
  <c r="E15" i="5" s="1"/>
  <c r="E53" i="5" s="1"/>
  <c r="E54" i="5" s="1"/>
  <c r="C10" i="5"/>
  <c r="C14" i="5" s="1"/>
  <c r="K9" i="5"/>
  <c r="K10" i="5" s="1"/>
  <c r="K14" i="5" s="1"/>
  <c r="K15" i="5" s="1"/>
  <c r="H9" i="5"/>
  <c r="B9" i="5"/>
  <c r="N9" i="5" s="1"/>
  <c r="M8" i="5"/>
  <c r="L8" i="5"/>
  <c r="L10" i="5" s="1"/>
  <c r="L14" i="5" s="1"/>
  <c r="L15" i="5" s="1"/>
  <c r="K8" i="5"/>
  <c r="J8" i="5"/>
  <c r="J10" i="5" s="1"/>
  <c r="I8" i="5"/>
  <c r="H8" i="5"/>
  <c r="G8" i="5"/>
  <c r="G10" i="5" s="1"/>
  <c r="G14" i="5" s="1"/>
  <c r="G15" i="5" s="1"/>
  <c r="F8" i="5"/>
  <c r="E8" i="5"/>
  <c r="D8" i="5"/>
  <c r="D10" i="5" s="1"/>
  <c r="C8" i="5"/>
  <c r="B8" i="5"/>
  <c r="N7" i="5"/>
  <c r="H52" i="4"/>
  <c r="M51" i="4"/>
  <c r="L51" i="4"/>
  <c r="K51" i="4"/>
  <c r="J51" i="4"/>
  <c r="I51" i="4"/>
  <c r="I52" i="4" s="1"/>
  <c r="H51" i="4"/>
  <c r="G51" i="4"/>
  <c r="F51" i="4"/>
  <c r="E51" i="4"/>
  <c r="D51" i="4"/>
  <c r="C51" i="4"/>
  <c r="B51" i="4"/>
  <c r="N49" i="4"/>
  <c r="M48" i="4"/>
  <c r="K48" i="4"/>
  <c r="I48" i="4"/>
  <c r="H48" i="4"/>
  <c r="G48" i="4"/>
  <c r="F48" i="4"/>
  <c r="E48" i="4"/>
  <c r="D48" i="4"/>
  <c r="C48" i="4"/>
  <c r="N48" i="4" s="1"/>
  <c r="B48" i="4"/>
  <c r="N47" i="4"/>
  <c r="I47" i="4"/>
  <c r="N46" i="4"/>
  <c r="L46" i="4"/>
  <c r="L48" i="4" s="1"/>
  <c r="K46" i="4"/>
  <c r="J46" i="4"/>
  <c r="J48" i="4" s="1"/>
  <c r="N45" i="4"/>
  <c r="I44" i="4"/>
  <c r="H44" i="4"/>
  <c r="J43" i="4"/>
  <c r="D43" i="4"/>
  <c r="N43" i="4" s="1"/>
  <c r="M42" i="4"/>
  <c r="L42" i="4"/>
  <c r="M41" i="4"/>
  <c r="K41" i="4"/>
  <c r="J41" i="4"/>
  <c r="J44" i="4" s="1"/>
  <c r="H41" i="4"/>
  <c r="G41" i="4"/>
  <c r="F41" i="4"/>
  <c r="E41" i="4"/>
  <c r="D41" i="4"/>
  <c r="C41" i="4"/>
  <c r="B41" i="4"/>
  <c r="M40" i="4"/>
  <c r="L40" i="4"/>
  <c r="L44" i="4" s="1"/>
  <c r="K40" i="4"/>
  <c r="K44" i="4" s="1"/>
  <c r="J40" i="4"/>
  <c r="I40" i="4"/>
  <c r="H40" i="4"/>
  <c r="G40" i="4"/>
  <c r="G44" i="4" s="1"/>
  <c r="F40" i="4"/>
  <c r="E40" i="4"/>
  <c r="E44" i="4" s="1"/>
  <c r="D40" i="4"/>
  <c r="C40" i="4"/>
  <c r="C44" i="4" s="1"/>
  <c r="B40" i="4"/>
  <c r="N39" i="4"/>
  <c r="L38" i="4"/>
  <c r="K38" i="4"/>
  <c r="I38" i="4"/>
  <c r="K37" i="4"/>
  <c r="J37" i="4"/>
  <c r="I37" i="4"/>
  <c r="N37" i="4" s="1"/>
  <c r="H37" i="4"/>
  <c r="F37" i="4"/>
  <c r="D37" i="4"/>
  <c r="D36" i="4"/>
  <c r="C36" i="4"/>
  <c r="M35" i="4"/>
  <c r="L35" i="4"/>
  <c r="K35" i="4"/>
  <c r="J35" i="4"/>
  <c r="I35" i="4"/>
  <c r="H35" i="4"/>
  <c r="G35" i="4"/>
  <c r="F35" i="4"/>
  <c r="E35" i="4"/>
  <c r="N35" i="4" s="1"/>
  <c r="D35" i="4"/>
  <c r="C35" i="4"/>
  <c r="B35" i="4"/>
  <c r="M34" i="4"/>
  <c r="L34" i="4"/>
  <c r="K34" i="4"/>
  <c r="J34" i="4"/>
  <c r="I34" i="4"/>
  <c r="H34" i="4"/>
  <c r="G34" i="4"/>
  <c r="F34" i="4"/>
  <c r="E34" i="4"/>
  <c r="D34" i="4"/>
  <c r="C34" i="4"/>
  <c r="C38" i="4" s="1"/>
  <c r="B34" i="4"/>
  <c r="N34" i="4" s="1"/>
  <c r="M33" i="4"/>
  <c r="L33" i="4"/>
  <c r="K33" i="4"/>
  <c r="J33" i="4"/>
  <c r="I33" i="4"/>
  <c r="H33" i="4"/>
  <c r="H38" i="4" s="1"/>
  <c r="G33" i="4"/>
  <c r="G38" i="4" s="1"/>
  <c r="F33" i="4"/>
  <c r="F38" i="4" s="1"/>
  <c r="E33" i="4"/>
  <c r="E38" i="4" s="1"/>
  <c r="B33" i="4"/>
  <c r="N32" i="4"/>
  <c r="N31" i="4"/>
  <c r="M31" i="4"/>
  <c r="L31" i="4"/>
  <c r="F31" i="4"/>
  <c r="C31" i="4"/>
  <c r="D30" i="4"/>
  <c r="B30" i="4"/>
  <c r="N30" i="4" s="1"/>
  <c r="N29" i="4"/>
  <c r="D29" i="4"/>
  <c r="M28" i="4"/>
  <c r="L28" i="4"/>
  <c r="K28" i="4"/>
  <c r="J28" i="4"/>
  <c r="I28" i="4"/>
  <c r="H28" i="4"/>
  <c r="G28" i="4"/>
  <c r="F28" i="4"/>
  <c r="N28" i="4" s="1"/>
  <c r="E28" i="4"/>
  <c r="D28" i="4"/>
  <c r="C28" i="4"/>
  <c r="B28" i="4"/>
  <c r="I27" i="4"/>
  <c r="G27" i="4"/>
  <c r="F27" i="4"/>
  <c r="E27" i="4"/>
  <c r="C27" i="4"/>
  <c r="M26" i="4"/>
  <c r="M27" i="4" s="1"/>
  <c r="F26" i="4"/>
  <c r="M25" i="4"/>
  <c r="L25" i="4"/>
  <c r="L27" i="4" s="1"/>
  <c r="K25" i="4"/>
  <c r="K27" i="4" s="1"/>
  <c r="J25" i="4"/>
  <c r="J27" i="4" s="1"/>
  <c r="I25" i="4"/>
  <c r="H25" i="4"/>
  <c r="H27" i="4" s="1"/>
  <c r="G25" i="4"/>
  <c r="F25" i="4"/>
  <c r="E25" i="4"/>
  <c r="D25" i="4"/>
  <c r="D27" i="4" s="1"/>
  <c r="C25" i="4"/>
  <c r="B25" i="4"/>
  <c r="N25" i="4" s="1"/>
  <c r="N24" i="4"/>
  <c r="J23" i="4"/>
  <c r="I23" i="4"/>
  <c r="H23" i="4"/>
  <c r="F23" i="4"/>
  <c r="D23" i="4"/>
  <c r="N22" i="4"/>
  <c r="L22" i="4"/>
  <c r="N21" i="4"/>
  <c r="F21" i="4"/>
  <c r="J20" i="4"/>
  <c r="I20" i="4"/>
  <c r="H20" i="4"/>
  <c r="G20" i="4"/>
  <c r="F20" i="4"/>
  <c r="E20" i="4"/>
  <c r="D20" i="4"/>
  <c r="C20" i="4"/>
  <c r="B20" i="4"/>
  <c r="M19" i="4"/>
  <c r="M20" i="4" s="1"/>
  <c r="K19" i="4"/>
  <c r="K20" i="4" s="1"/>
  <c r="B19" i="4"/>
  <c r="N18" i="4"/>
  <c r="L18" i="4"/>
  <c r="L20" i="4" s="1"/>
  <c r="L52" i="4" s="1"/>
  <c r="K14" i="4"/>
  <c r="N14" i="4" s="1"/>
  <c r="M13" i="4"/>
  <c r="G13" i="4"/>
  <c r="F13" i="4"/>
  <c r="E13" i="4"/>
  <c r="L12" i="4"/>
  <c r="L13" i="4" s="1"/>
  <c r="K12" i="4"/>
  <c r="K13" i="4" s="1"/>
  <c r="J12" i="4"/>
  <c r="J13" i="4" s="1"/>
  <c r="I12" i="4"/>
  <c r="I13" i="4" s="1"/>
  <c r="H12" i="4"/>
  <c r="H13" i="4" s="1"/>
  <c r="G12" i="4"/>
  <c r="F12" i="4"/>
  <c r="E12" i="4"/>
  <c r="D12" i="4"/>
  <c r="D13" i="4" s="1"/>
  <c r="C12" i="4"/>
  <c r="C13" i="4" s="1"/>
  <c r="B12" i="4"/>
  <c r="N11" i="4"/>
  <c r="J10" i="4"/>
  <c r="J15" i="4" s="1"/>
  <c r="J16" i="4" s="1"/>
  <c r="G10" i="4"/>
  <c r="G15" i="4" s="1"/>
  <c r="G16" i="4" s="1"/>
  <c r="F10" i="4"/>
  <c r="F15" i="4" s="1"/>
  <c r="F16" i="4" s="1"/>
  <c r="L9" i="4"/>
  <c r="H9" i="4"/>
  <c r="N9" i="4" s="1"/>
  <c r="E9" i="4"/>
  <c r="M8" i="4"/>
  <c r="M10" i="4" s="1"/>
  <c r="L8" i="4"/>
  <c r="L10" i="4" s="1"/>
  <c r="K8" i="4"/>
  <c r="K10" i="4" s="1"/>
  <c r="K15" i="4" s="1"/>
  <c r="K16" i="4" s="1"/>
  <c r="J8" i="4"/>
  <c r="I8" i="4"/>
  <c r="I10" i="4" s="1"/>
  <c r="I15" i="4" s="1"/>
  <c r="I16" i="4" s="1"/>
  <c r="I53" i="4" s="1"/>
  <c r="I54" i="4" s="1"/>
  <c r="H8" i="4"/>
  <c r="H10" i="4" s="1"/>
  <c r="H15" i="4" s="1"/>
  <c r="H16" i="4" s="1"/>
  <c r="H53" i="4" s="1"/>
  <c r="H54" i="4" s="1"/>
  <c r="G8" i="4"/>
  <c r="F8" i="4"/>
  <c r="E8" i="4"/>
  <c r="E10" i="4" s="1"/>
  <c r="E15" i="4" s="1"/>
  <c r="E16" i="4" s="1"/>
  <c r="D8" i="4"/>
  <c r="D10" i="4" s="1"/>
  <c r="C8" i="4"/>
  <c r="C10" i="4" s="1"/>
  <c r="C15" i="4" s="1"/>
  <c r="C16" i="4" s="1"/>
  <c r="B8" i="4"/>
  <c r="N7" i="4"/>
  <c r="D52" i="4" l="1"/>
  <c r="K53" i="4"/>
  <c r="K54" i="4" s="1"/>
  <c r="L15" i="4"/>
  <c r="L16" i="4" s="1"/>
  <c r="L53" i="4" s="1"/>
  <c r="L54" i="4" s="1"/>
  <c r="G52" i="4"/>
  <c r="G53" i="4" s="1"/>
  <c r="G54" i="4" s="1"/>
  <c r="N20" i="4"/>
  <c r="M38" i="4"/>
  <c r="M52" i="4" s="1"/>
  <c r="C52" i="4"/>
  <c r="C53" i="4" s="1"/>
  <c r="C54" i="4" s="1"/>
  <c r="J38" i="4"/>
  <c r="N41" i="4"/>
  <c r="N33" i="5"/>
  <c r="D37" i="5"/>
  <c r="N39" i="5"/>
  <c r="G54" i="6"/>
  <c r="G61" i="6" s="1"/>
  <c r="I53" i="6"/>
  <c r="I54" i="6" s="1"/>
  <c r="I61" i="6" s="1"/>
  <c r="N31" i="7"/>
  <c r="G44" i="9"/>
  <c r="G49" i="9" s="1"/>
  <c r="F44" i="9"/>
  <c r="F49" i="9" s="1"/>
  <c r="N32" i="9"/>
  <c r="N23" i="4"/>
  <c r="N26" i="4"/>
  <c r="N29" i="5"/>
  <c r="L37" i="5"/>
  <c r="L52" i="5" s="1"/>
  <c r="L53" i="5" s="1"/>
  <c r="L54" i="5" s="1"/>
  <c r="N34" i="5"/>
  <c r="G53" i="6"/>
  <c r="J53" i="6"/>
  <c r="E43" i="7"/>
  <c r="E48" i="7" s="1"/>
  <c r="M43" i="7"/>
  <c r="M48" i="7" s="1"/>
  <c r="N17" i="7"/>
  <c r="K43" i="9"/>
  <c r="N8" i="4"/>
  <c r="B10" i="4"/>
  <c r="B13" i="4"/>
  <c r="N13" i="4" s="1"/>
  <c r="N12" i="4"/>
  <c r="B27" i="4"/>
  <c r="N27" i="4" s="1"/>
  <c r="C37" i="5"/>
  <c r="C52" i="5" s="1"/>
  <c r="C53" i="5" s="1"/>
  <c r="C54" i="5" s="1"/>
  <c r="N40" i="5"/>
  <c r="N50" i="5"/>
  <c r="F43" i="7"/>
  <c r="F48" i="7" s="1"/>
  <c r="C42" i="7"/>
  <c r="C43" i="7" s="1"/>
  <c r="C48" i="7" s="1"/>
  <c r="G45" i="8"/>
  <c r="G50" i="8" s="1"/>
  <c r="K44" i="8"/>
  <c r="N41" i="8"/>
  <c r="B49" i="8"/>
  <c r="N49" i="8" s="1"/>
  <c r="N48" i="8"/>
  <c r="J44" i="9"/>
  <c r="J49" i="9" s="1"/>
  <c r="D43" i="9"/>
  <c r="D44" i="9" s="1"/>
  <c r="D49" i="9" s="1"/>
  <c r="L43" i="9"/>
  <c r="L44" i="9" s="1"/>
  <c r="L49" i="9" s="1"/>
  <c r="M15" i="4"/>
  <c r="M16" i="4" s="1"/>
  <c r="D44" i="4"/>
  <c r="N13" i="5"/>
  <c r="F52" i="5"/>
  <c r="F53" i="5" s="1"/>
  <c r="F54" i="5" s="1"/>
  <c r="N19" i="5"/>
  <c r="I25" i="5"/>
  <c r="I52" i="5" s="1"/>
  <c r="I53" i="5" s="1"/>
  <c r="I54" i="5" s="1"/>
  <c r="N43" i="5"/>
  <c r="K43" i="5"/>
  <c r="N19" i="4"/>
  <c r="D38" i="4"/>
  <c r="N36" i="4"/>
  <c r="M44" i="4"/>
  <c r="N51" i="4"/>
  <c r="N8" i="5"/>
  <c r="G52" i="5"/>
  <c r="G53" i="5" s="1"/>
  <c r="G54" i="5" s="1"/>
  <c r="N12" i="5"/>
  <c r="D52" i="5"/>
  <c r="D53" i="5" s="1"/>
  <c r="D54" i="5" s="1"/>
  <c r="D15" i="4"/>
  <c r="D16" i="4" s="1"/>
  <c r="K52" i="4"/>
  <c r="N26" i="5"/>
  <c r="J52" i="4"/>
  <c r="J53" i="4" s="1"/>
  <c r="J54" i="4" s="1"/>
  <c r="F44" i="4"/>
  <c r="F52" i="4" s="1"/>
  <c r="F53" i="4" s="1"/>
  <c r="F54" i="4" s="1"/>
  <c r="N40" i="4"/>
  <c r="N23" i="5"/>
  <c r="B11" i="9"/>
  <c r="N10" i="9"/>
  <c r="B48" i="9"/>
  <c r="N48" i="9" s="1"/>
  <c r="N47" i="9"/>
  <c r="N14" i="6"/>
  <c r="N19" i="6"/>
  <c r="I43" i="7"/>
  <c r="I48" i="7" s="1"/>
  <c r="B11" i="8"/>
  <c r="N10" i="8"/>
  <c r="J45" i="8"/>
  <c r="J50" i="8" s="1"/>
  <c r="K45" i="8"/>
  <c r="K50" i="8" s="1"/>
  <c r="G43" i="9"/>
  <c r="B44" i="4"/>
  <c r="B11" i="6"/>
  <c r="N10" i="6"/>
  <c r="J54" i="6"/>
  <c r="J61" i="6" s="1"/>
  <c r="B53" i="6"/>
  <c r="N41" i="6"/>
  <c r="N48" i="6"/>
  <c r="M42" i="7"/>
  <c r="H45" i="8"/>
  <c r="H50" i="8" s="1"/>
  <c r="M43" i="9"/>
  <c r="B38" i="4"/>
  <c r="B52" i="5"/>
  <c r="H43" i="5"/>
  <c r="H52" i="5" s="1"/>
  <c r="H53" i="5" s="1"/>
  <c r="H54" i="5" s="1"/>
  <c r="N47" i="5"/>
  <c r="C54" i="6"/>
  <c r="C61" i="6" s="1"/>
  <c r="K54" i="6"/>
  <c r="K61" i="6" s="1"/>
  <c r="C53" i="6"/>
  <c r="M53" i="6"/>
  <c r="M54" i="6" s="1"/>
  <c r="M61" i="6" s="1"/>
  <c r="H43" i="7"/>
  <c r="H48" i="7" s="1"/>
  <c r="E42" i="7"/>
  <c r="N22" i="7"/>
  <c r="N47" i="7"/>
  <c r="I45" i="8"/>
  <c r="I50" i="8" s="1"/>
  <c r="M44" i="8"/>
  <c r="M45" i="8" s="1"/>
  <c r="M50" i="8" s="1"/>
  <c r="H44" i="8"/>
  <c r="F44" i="8"/>
  <c r="F45" i="8" s="1"/>
  <c r="F50" i="8" s="1"/>
  <c r="C10" i="9"/>
  <c r="C11" i="9" s="1"/>
  <c r="C44" i="9" s="1"/>
  <c r="C49" i="9" s="1"/>
  <c r="N9" i="9"/>
  <c r="K44" i="9"/>
  <c r="K49" i="9" s="1"/>
  <c r="F43" i="9"/>
  <c r="N40" i="9"/>
  <c r="E52" i="4"/>
  <c r="E53" i="4" s="1"/>
  <c r="E54" i="4" s="1"/>
  <c r="B10" i="5"/>
  <c r="M14" i="5"/>
  <c r="M15" i="5" s="1"/>
  <c r="M53" i="5" s="1"/>
  <c r="M54" i="5" s="1"/>
  <c r="K52" i="5"/>
  <c r="K53" i="5" s="1"/>
  <c r="K54" i="5" s="1"/>
  <c r="N33" i="4"/>
  <c r="N42" i="4"/>
  <c r="J37" i="5"/>
  <c r="J52" i="5" s="1"/>
  <c r="J53" i="5" s="1"/>
  <c r="J54" i="5" s="1"/>
  <c r="E54" i="6"/>
  <c r="E61" i="6" s="1"/>
  <c r="E53" i="6"/>
  <c r="H53" i="6"/>
  <c r="H54" i="6" s="1"/>
  <c r="H61" i="6" s="1"/>
  <c r="B11" i="7"/>
  <c r="N10" i="7"/>
  <c r="J43" i="7"/>
  <c r="J48" i="7" s="1"/>
  <c r="G42" i="7"/>
  <c r="G43" i="7" s="1"/>
  <c r="G48" i="7" s="1"/>
  <c r="L42" i="7"/>
  <c r="L43" i="7" s="1"/>
  <c r="L48" i="7" s="1"/>
  <c r="B44" i="8"/>
  <c r="N21" i="8"/>
  <c r="J44" i="8"/>
  <c r="N33" i="8"/>
  <c r="E44" i="9"/>
  <c r="E49" i="9" s="1"/>
  <c r="M44" i="9"/>
  <c r="M49" i="9" s="1"/>
  <c r="H43" i="9"/>
  <c r="H44" i="9" s="1"/>
  <c r="H49" i="9" s="1"/>
  <c r="N45" i="5"/>
  <c r="N17" i="6"/>
  <c r="N23" i="6"/>
  <c r="B36" i="7"/>
  <c r="N36" i="7" s="1"/>
  <c r="E44" i="8"/>
  <c r="E45" i="8" s="1"/>
  <c r="E50" i="8" s="1"/>
  <c r="N28" i="9"/>
  <c r="N46" i="9"/>
  <c r="N8" i="7"/>
  <c r="N16" i="7"/>
  <c r="N27" i="7"/>
  <c r="N29" i="8"/>
  <c r="N40" i="8"/>
  <c r="N16" i="9"/>
  <c r="B23" i="9"/>
  <c r="N23" i="9" s="1"/>
  <c r="D35" i="6"/>
  <c r="D53" i="6" s="1"/>
  <c r="D54" i="6" s="1"/>
  <c r="D61" i="6" s="1"/>
  <c r="N37" i="6"/>
  <c r="N46" i="6"/>
  <c r="D36" i="7"/>
  <c r="D42" i="7" s="1"/>
  <c r="D43" i="7" s="1"/>
  <c r="D48" i="7" s="1"/>
  <c r="N35" i="8"/>
  <c r="C38" i="8"/>
  <c r="N38" i="8" s="1"/>
  <c r="B37" i="9"/>
  <c r="N37" i="9" s="1"/>
  <c r="N20" i="7"/>
  <c r="N46" i="7"/>
  <c r="N8" i="8"/>
  <c r="N20" i="8"/>
  <c r="N30" i="8"/>
  <c r="N47" i="8"/>
  <c r="D37" i="9"/>
  <c r="H58" i="6"/>
  <c r="H59" i="6" s="1"/>
  <c r="H60" i="6" s="1"/>
  <c r="N60" i="6" s="1"/>
  <c r="N14" i="8"/>
  <c r="B15" i="6" l="1"/>
  <c r="N11" i="6"/>
  <c r="N35" i="6"/>
  <c r="N37" i="5"/>
  <c r="N25" i="5"/>
  <c r="N11" i="8"/>
  <c r="B12" i="8"/>
  <c r="B15" i="4"/>
  <c r="N10" i="4"/>
  <c r="N44" i="8"/>
  <c r="N58" i="6"/>
  <c r="N44" i="4"/>
  <c r="D53" i="4"/>
  <c r="D54" i="4" s="1"/>
  <c r="B52" i="4"/>
  <c r="N52" i="4" s="1"/>
  <c r="B44" i="9"/>
  <c r="N11" i="9"/>
  <c r="B12" i="7"/>
  <c r="N11" i="7"/>
  <c r="B42" i="7"/>
  <c r="N42" i="7" s="1"/>
  <c r="C44" i="8"/>
  <c r="C45" i="8" s="1"/>
  <c r="C50" i="8" s="1"/>
  <c r="N52" i="5"/>
  <c r="B43" i="9"/>
  <c r="N43" i="9" s="1"/>
  <c r="N59" i="6"/>
  <c r="N38" i="4"/>
  <c r="N53" i="6"/>
  <c r="N10" i="5"/>
  <c r="B14" i="5"/>
  <c r="M53" i="4"/>
  <c r="M54" i="4" s="1"/>
  <c r="B16" i="4" l="1"/>
  <c r="N15" i="4"/>
  <c r="B49" i="9"/>
  <c r="N49" i="9" s="1"/>
  <c r="N44" i="9"/>
  <c r="B15" i="5"/>
  <c r="N14" i="5"/>
  <c r="N12" i="8"/>
  <c r="B45" i="8"/>
  <c r="N12" i="7"/>
  <c r="B43" i="7"/>
  <c r="B54" i="6"/>
  <c r="N15" i="6"/>
  <c r="B50" i="8" l="1"/>
  <c r="N50" i="8" s="1"/>
  <c r="N45" i="8"/>
  <c r="B53" i="5"/>
  <c r="N15" i="5"/>
  <c r="B61" i="6"/>
  <c r="N61" i="6" s="1"/>
  <c r="N54" i="6"/>
  <c r="N43" i="7"/>
  <c r="B48" i="7"/>
  <c r="N48" i="7" s="1"/>
  <c r="B53" i="4"/>
  <c r="N16" i="4"/>
  <c r="N53" i="5" l="1"/>
  <c r="B54" i="5"/>
  <c r="N54" i="5" s="1"/>
  <c r="B54" i="4"/>
  <c r="N54" i="4" s="1"/>
  <c r="N53" i="4"/>
  <c r="N56" i="4" l="1"/>
  <c r="N55" i="4"/>
</calcChain>
</file>

<file path=xl/sharedStrings.xml><?xml version="1.0" encoding="utf-8"?>
<sst xmlns="http://schemas.openxmlformats.org/spreadsheetml/2006/main" count="1180" uniqueCount="342">
  <si>
    <t>Net Operating Income</t>
  </si>
  <si>
    <t>Rent Roll
As of 4/1/2025, Ben Day and Broadway, Current  leases, All units</t>
  </si>
  <si>
    <t>Prepared by Brick &amp; Mortar KC
3829 Main Street, Suite 103
Kansas City, MO 64111
ilan@brickkc.com</t>
  </si>
  <si>
    <t>Leavenworth's Ben Day Lofts</t>
  </si>
  <si>
    <t/>
  </si>
  <si>
    <t>Recurring</t>
  </si>
  <si>
    <t>Unit</t>
  </si>
  <si>
    <t>Tenants</t>
  </si>
  <si>
    <t>Lease Start</t>
  </si>
  <si>
    <t>Lease End</t>
  </si>
  <si>
    <t>Bed/Bath</t>
  </si>
  <si>
    <t>Sq.Ft.</t>
  </si>
  <si>
    <t>Rent Cycle</t>
  </si>
  <si>
    <t>Rent Start</t>
  </si>
  <si>
    <t>Rent</t>
  </si>
  <si>
    <t>Charges</t>
  </si>
  <si>
    <t>Credits</t>
  </si>
  <si>
    <t>Total</t>
  </si>
  <si>
    <t>Deposits Held</t>
  </si>
  <si>
    <t>Prepayments</t>
  </si>
  <si>
    <t>Balance Due</t>
  </si>
  <si>
    <t>0</t>
  </si>
  <si>
    <t>Gilbert and Shawn Nelson</t>
  </si>
  <si>
    <t>5/1/2024</t>
  </si>
  <si>
    <t>4/30/2025</t>
  </si>
  <si>
    <t>1 Bed/1 Bath</t>
  </si>
  <si>
    <t>Monthly</t>
  </si>
  <si>
    <t>1</t>
  </si>
  <si>
    <t>Karyn Larkin</t>
  </si>
  <si>
    <t>4/12/2024</t>
  </si>
  <si>
    <t>2 Bed/1 Bath</t>
  </si>
  <si>
    <t>2</t>
  </si>
  <si>
    <t>Bobbe Butts</t>
  </si>
  <si>
    <t>5/1/2019</t>
  </si>
  <si>
    <t>12/31/2025</t>
  </si>
  <si>
    <t>3</t>
  </si>
  <si>
    <t>Aaron Sermino, Mandy Hess</t>
  </si>
  <si>
    <t>12/28/2023</t>
  </si>
  <si>
    <t>4</t>
  </si>
  <si>
    <t>Dee Jones</t>
  </si>
  <si>
    <t>10/1/2019</t>
  </si>
  <si>
    <t>9/30/2025</t>
  </si>
  <si>
    <t>5</t>
  </si>
  <si>
    <t>Hannah Sandeen</t>
  </si>
  <si>
    <t>12/11/2020</t>
  </si>
  <si>
    <t>6</t>
  </si>
  <si>
    <t>Tyler Spiegelhalter</t>
  </si>
  <si>
    <t>7/26/2024</t>
  </si>
  <si>
    <t>7/31/2025</t>
  </si>
  <si>
    <t>Studio/1 Bath</t>
  </si>
  <si>
    <t>7</t>
  </si>
  <si>
    <t>Whitney Moulden</t>
  </si>
  <si>
    <t>10/30/2015</t>
  </si>
  <si>
    <t>11/30/2025</t>
  </si>
  <si>
    <t>8</t>
  </si>
  <si>
    <t>Chris Moyer</t>
  </si>
  <si>
    <t>9/18/2015</t>
  </si>
  <si>
    <t>9</t>
  </si>
  <si>
    <t>Carolyn Tillotson</t>
  </si>
  <si>
    <t>11/23/2015</t>
  </si>
  <si>
    <t>10</t>
  </si>
  <si>
    <t>Laura Bollin</t>
  </si>
  <si>
    <t>5/4/2018</t>
  </si>
  <si>
    <t>11</t>
  </si>
  <si>
    <t>Julie Van Der Werff</t>
  </si>
  <si>
    <t>9/20/2019</t>
  </si>
  <si>
    <t>12</t>
  </si>
  <si>
    <t>Mason Belcher, Terique Suwareh</t>
  </si>
  <si>
    <t>8/1/2024</t>
  </si>
  <si>
    <t>3 Bed/1 Bath</t>
  </si>
  <si>
    <t>13</t>
  </si>
  <si>
    <t>Alicia Hund</t>
  </si>
  <si>
    <t>6/21/2024</t>
  </si>
  <si>
    <t>6/30/2025</t>
  </si>
  <si>
    <t>4 Bed/1 Bath</t>
  </si>
  <si>
    <t>14</t>
  </si>
  <si>
    <t>Eric Witzleb</t>
  </si>
  <si>
    <t>11/27/2024</t>
  </si>
  <si>
    <t>201</t>
  </si>
  <si>
    <t>Madilyn Hicks</t>
  </si>
  <si>
    <t>10/12/2018</t>
  </si>
  <si>
    <t>202</t>
  </si>
  <si>
    <t>Michael Garrison</t>
  </si>
  <si>
    <t>6/7/2024</t>
  </si>
  <si>
    <t>203</t>
  </si>
  <si>
    <t>Christiana Jordan</t>
  </si>
  <si>
    <t>8/2/2024</t>
  </si>
  <si>
    <t>8/31/2025</t>
  </si>
  <si>
    <t>204</t>
  </si>
  <si>
    <t>James Searles</t>
  </si>
  <si>
    <t>8/16/2024</t>
  </si>
  <si>
    <t>8/15/2025</t>
  </si>
  <si>
    <t>205</t>
  </si>
  <si>
    <t>Arthur Weeks</t>
  </si>
  <si>
    <t>7/8/2024</t>
  </si>
  <si>
    <t>206</t>
  </si>
  <si>
    <t>Sara Adkins, Miguel Guzman</t>
  </si>
  <si>
    <t>9/4/2024</t>
  </si>
  <si>
    <t>207</t>
  </si>
  <si>
    <t>Rhonda Booth</t>
  </si>
  <si>
    <t>10/1/2024</t>
  </si>
  <si>
    <t>4/4/2025</t>
  </si>
  <si>
    <t>208</t>
  </si>
  <si>
    <t>Broden Schnittger</t>
  </si>
  <si>
    <t>10/9/2020</t>
  </si>
  <si>
    <t>10/31/2025</t>
  </si>
  <si>
    <t>209</t>
  </si>
  <si>
    <t>Joshua Merrill</t>
  </si>
  <si>
    <t>7/1/2024</t>
  </si>
  <si>
    <t>210</t>
  </si>
  <si>
    <t>Patrick Boulanger</t>
  </si>
  <si>
    <t>4/16/2021</t>
  </si>
  <si>
    <t>5/31/2025</t>
  </si>
  <si>
    <t>Total for Leavenworth's Ben Day Lofts</t>
  </si>
  <si>
    <t>Leavenworth's Broadway Lofts</t>
  </si>
  <si>
    <t>001</t>
  </si>
  <si>
    <t>Betsy Mielke</t>
  </si>
  <si>
    <t>12/30/2024</t>
  </si>
  <si>
    <t>101</t>
  </si>
  <si>
    <t>VACANT</t>
  </si>
  <si>
    <t>102</t>
  </si>
  <si>
    <t>Denise Watts</t>
  </si>
  <si>
    <t>3/1/2025</t>
  </si>
  <si>
    <t>2/28/2026</t>
  </si>
  <si>
    <t>103</t>
  </si>
  <si>
    <t>Roy Brown</t>
  </si>
  <si>
    <t>7/12/2024</t>
  </si>
  <si>
    <t>104</t>
  </si>
  <si>
    <t>Joseph Eggleston</t>
  </si>
  <si>
    <t>7/22/2024</t>
  </si>
  <si>
    <t>105</t>
  </si>
  <si>
    <t>Jennifer Delcid</t>
  </si>
  <si>
    <t>6/1/2023</t>
  </si>
  <si>
    <t>106</t>
  </si>
  <si>
    <t>Joel Hendrickson</t>
  </si>
  <si>
    <t>107</t>
  </si>
  <si>
    <t>Suang Let</t>
  </si>
  <si>
    <t>5/7/2021</t>
  </si>
  <si>
    <t>108</t>
  </si>
  <si>
    <t>Shannon Manley</t>
  </si>
  <si>
    <t>12/12/2024</t>
  </si>
  <si>
    <t>109</t>
  </si>
  <si>
    <t>110</t>
  </si>
  <si>
    <t>Savannah Crenshaw</t>
  </si>
  <si>
    <t>9/9/2024</t>
  </si>
  <si>
    <t>111</t>
  </si>
  <si>
    <t>Davi Norwood</t>
  </si>
  <si>
    <t>4/14/2023</t>
  </si>
  <si>
    <t>112</t>
  </si>
  <si>
    <t>Danielle Coburn</t>
  </si>
  <si>
    <t>9/7/2023</t>
  </si>
  <si>
    <t>113</t>
  </si>
  <si>
    <t>Jacob Bliss</t>
  </si>
  <si>
    <t>11/5/2024</t>
  </si>
  <si>
    <t>Candyce Johnson</t>
  </si>
  <si>
    <t>9/27/2024</t>
  </si>
  <si>
    <t>Elisa Torrance</t>
  </si>
  <si>
    <t>Julie Lawrence</t>
  </si>
  <si>
    <t>5/1/2021</t>
  </si>
  <si>
    <t>Alexander Console</t>
  </si>
  <si>
    <t>11/24/2021</t>
  </si>
  <si>
    <t>Kathy Mys</t>
  </si>
  <si>
    <t>6/24/2022</t>
  </si>
  <si>
    <t>Samantha Migliore</t>
  </si>
  <si>
    <t>4/1/2025</t>
  </si>
  <si>
    <t>3/31/2026</t>
  </si>
  <si>
    <t>Annmarie Schafer</t>
  </si>
  <si>
    <t>7/1/2023</t>
  </si>
  <si>
    <t>Vincent McTigue</t>
  </si>
  <si>
    <t>6/28/2024</t>
  </si>
  <si>
    <t>David Denlinger</t>
  </si>
  <si>
    <t>Matthew McCrary</t>
  </si>
  <si>
    <t>7/3/2024</t>
  </si>
  <si>
    <t>6/13/2025</t>
  </si>
  <si>
    <t>211</t>
  </si>
  <si>
    <t>Zoie Stieger Walden</t>
  </si>
  <si>
    <t>9/1/2023</t>
  </si>
  <si>
    <t>212</t>
  </si>
  <si>
    <t>Susan Robb</t>
  </si>
  <si>
    <t>213</t>
  </si>
  <si>
    <t>Avery Lipsit</t>
  </si>
  <si>
    <t>2/20/2025</t>
  </si>
  <si>
    <t>Total for Leavenworth's Broadway Lofts</t>
  </si>
  <si>
    <t>Grand totals</t>
  </si>
  <si>
    <t>Amount</t>
  </si>
  <si>
    <t>Market rent</t>
  </si>
  <si>
    <t>Recurring charges</t>
  </si>
  <si>
    <t>Recurring credits</t>
  </si>
  <si>
    <t>Deposits held</t>
  </si>
  <si>
    <t>Balance due</t>
  </si>
  <si>
    <t>Summary by bed/bath</t>
  </si>
  <si>
    <t>Occupancy</t>
  </si>
  <si>
    <t>Square Feet</t>
  </si>
  <si>
    <t>Market Rent</t>
  </si>
  <si>
    <t>No. of Units</t>
  </si>
  <si>
    <t>Vacant</t>
  </si>
  <si>
    <t>Occupied</t>
  </si>
  <si>
    <t>% Occupied</t>
  </si>
  <si>
    <t>Average</t>
  </si>
  <si>
    <t>Avg./Sq.Ft.</t>
  </si>
  <si>
    <t>92.86%</t>
  </si>
  <si>
    <t>96.43%</t>
  </si>
  <si>
    <t>100.00%</t>
  </si>
  <si>
    <t>Totals and averages</t>
  </si>
  <si>
    <t>96.15%</t>
  </si>
  <si>
    <t>Summary by property</t>
  </si>
  <si>
    <t>Property</t>
  </si>
  <si>
    <t>92.59%</t>
  </si>
  <si>
    <t>Rent Roll
As of 12/31/2024, Ben Day and Broadway, Current  leases, All units</t>
  </si>
  <si>
    <t>Holden Squibb</t>
  </si>
  <si>
    <t>3/15/2025</t>
  </si>
  <si>
    <t>Alyssa Wilson</t>
  </si>
  <si>
    <t>12/22/2021</t>
  </si>
  <si>
    <t>12/31/2024</t>
  </si>
  <si>
    <t>Justin Fay</t>
  </si>
  <si>
    <t>12/15/2022</t>
  </si>
  <si>
    <t>Steven Henriquez</t>
  </si>
  <si>
    <t>7/8/2022</t>
  </si>
  <si>
    <t>96.30%</t>
  </si>
  <si>
    <t>98.08%</t>
  </si>
  <si>
    <t>Exact Broadway LLC</t>
  </si>
  <si>
    <t>Profit and Loss</t>
  </si>
  <si>
    <t>April 2024 - March 2025</t>
  </si>
  <si>
    <t>Apr 2024</t>
  </si>
  <si>
    <t>May 2024</t>
  </si>
  <si>
    <t>Jun 2024</t>
  </si>
  <si>
    <t>Jul 2024</t>
  </si>
  <si>
    <t>Aug 2024</t>
  </si>
  <si>
    <t>Sep 2024</t>
  </si>
  <si>
    <t>Oct 2024</t>
  </si>
  <si>
    <t>Nov 2024</t>
  </si>
  <si>
    <t>Dec 2024</t>
  </si>
  <si>
    <t>Jan 2025</t>
  </si>
  <si>
    <t>Feb 2025</t>
  </si>
  <si>
    <t>Mar 2025</t>
  </si>
  <si>
    <t>Projected Rents</t>
  </si>
  <si>
    <t>Income</t>
  </si>
  <si>
    <t xml:space="preserve">   4000 Rental Income</t>
  </si>
  <si>
    <t xml:space="preserve">      4010 Residential Rent Income</t>
  </si>
  <si>
    <t xml:space="preserve">      4090 Returned Rent Income</t>
  </si>
  <si>
    <t xml:space="preserve">   Total 4000 Rental Income</t>
  </si>
  <si>
    <t xml:space="preserve">   4300 Other Recurring Income</t>
  </si>
  <si>
    <t xml:space="preserve">      4340 Interest Income</t>
  </si>
  <si>
    <t xml:space="preserve">   Total 4300 Other Recurring Income</t>
  </si>
  <si>
    <t xml:space="preserve">   4601 Uncategorized Income</t>
  </si>
  <si>
    <t>Total Income</t>
  </si>
  <si>
    <t>Gross Profit</t>
  </si>
  <si>
    <t>Expenses</t>
  </si>
  <si>
    <t xml:space="preserve">   5000 Administrative Expense</t>
  </si>
  <si>
    <t xml:space="preserve">      5020 Software Expenses</t>
  </si>
  <si>
    <t xml:space="preserve">   Total 5000 Administrative Expense</t>
  </si>
  <si>
    <t xml:space="preserve">   5050 Business Licenses and Permits</t>
  </si>
  <si>
    <t xml:space="preserve">   5060 Bank Charges &amp; Fees</t>
  </si>
  <si>
    <t xml:space="preserve">   5100 Marketing Expenses</t>
  </si>
  <si>
    <t xml:space="preserve">   5200 Professional Fees</t>
  </si>
  <si>
    <t xml:space="preserve">      5210 Management Fees</t>
  </si>
  <si>
    <t xml:space="preserve">      5220 Tax &amp; Accounting</t>
  </si>
  <si>
    <t xml:space="preserve">   Total 5200 Professional Fees</t>
  </si>
  <si>
    <t xml:space="preserve">   6000 Repairs &amp; Maintenance</t>
  </si>
  <si>
    <t xml:space="preserve">   6100 Residential Units</t>
  </si>
  <si>
    <t xml:space="preserve">   6300 Supplies</t>
  </si>
  <si>
    <t xml:space="preserve">   6320 Paint Supplies</t>
  </si>
  <si>
    <t xml:space="preserve">   7000 Utilities Expenses</t>
  </si>
  <si>
    <t xml:space="preserve">      7010 Utilities Electrical</t>
  </si>
  <si>
    <t xml:space="preserve">      7020 Utilities Gas</t>
  </si>
  <si>
    <t xml:space="preserve">      7030 Utilities Water</t>
  </si>
  <si>
    <t xml:space="preserve">      7055 Monitoring</t>
  </si>
  <si>
    <t xml:space="preserve">      7070 Trash</t>
  </si>
  <si>
    <t xml:space="preserve">   Total 7000 Utilities Expenses</t>
  </si>
  <si>
    <t xml:space="preserve">   7500 Contract Services</t>
  </si>
  <si>
    <t xml:space="preserve">      7510 Cleaning-Residential</t>
  </si>
  <si>
    <t xml:space="preserve">      7530 Landscaping</t>
  </si>
  <si>
    <t xml:space="preserve">      7535 Snow removal</t>
  </si>
  <si>
    <t xml:space="preserve">      7540 Extermination</t>
  </si>
  <si>
    <t xml:space="preserve">   Total 7500 Contract Services</t>
  </si>
  <si>
    <t xml:space="preserve">   8000 Taxes &amp; Insurance</t>
  </si>
  <si>
    <t xml:space="preserve">      8010 Real Estate Taxes</t>
  </si>
  <si>
    <t xml:space="preserve">      8100 Insurance Expense</t>
  </si>
  <si>
    <t xml:space="preserve">   Total 8000 Taxes &amp; Insurance</t>
  </si>
  <si>
    <t xml:space="preserve">   9000 Financing</t>
  </si>
  <si>
    <t xml:space="preserve">      9020 Interest Expense - Perm Loan</t>
  </si>
  <si>
    <t xml:space="preserve">   Total 9000 Financing</t>
  </si>
  <si>
    <t>Total Expenses</t>
  </si>
  <si>
    <t>Net Income</t>
  </si>
  <si>
    <t>Wednesday, Apr 02, 2025 10:19:05 PM GMT-7 - Accrual Basis</t>
  </si>
  <si>
    <t>January - December 2024</t>
  </si>
  <si>
    <t>Jan 2024</t>
  </si>
  <si>
    <t>Feb 2024</t>
  </si>
  <si>
    <t>Mar 2024</t>
  </si>
  <si>
    <t xml:space="preserve">   6090 Miscellaneous Expense qbo</t>
  </si>
  <si>
    <t xml:space="preserve">   Melio Service Fees</t>
  </si>
  <si>
    <t>Wednesday, Jan 15, 2025 11:59:00 AM GMT-8 - Accrual Basis</t>
  </si>
  <si>
    <t>January - December 2023</t>
  </si>
  <si>
    <t>Jan 2023</t>
  </si>
  <si>
    <t>Feb 2023</t>
  </si>
  <si>
    <t>Mar 2023</t>
  </si>
  <si>
    <t>Apr 2023</t>
  </si>
  <si>
    <t>May 2023</t>
  </si>
  <si>
    <t>Jun 2023</t>
  </si>
  <si>
    <t>Jul 2023</t>
  </si>
  <si>
    <t>Aug 2023</t>
  </si>
  <si>
    <t>Sep 2023</t>
  </si>
  <si>
    <t>Oct 2023</t>
  </si>
  <si>
    <t>Nov 2023</t>
  </si>
  <si>
    <t>Dec 2023</t>
  </si>
  <si>
    <t>Cost of Goods Sold</t>
  </si>
  <si>
    <t xml:space="preserve">   Deposit refund</t>
  </si>
  <si>
    <t>Total Cost of Goods Sold</t>
  </si>
  <si>
    <t xml:space="preserve">   7515 Cleaning Supplies</t>
  </si>
  <si>
    <t xml:space="preserve">   7515 Cleaning Supplies ( 327 )</t>
  </si>
  <si>
    <t xml:space="preserve">   7590 Inspections</t>
  </si>
  <si>
    <t>Other Expenses</t>
  </si>
  <si>
    <t xml:space="preserve">   6900 CapEx</t>
  </si>
  <si>
    <t xml:space="preserve">      6980 Legal Settlement Expense</t>
  </si>
  <si>
    <t xml:space="preserve">   Total 6900 CapEx</t>
  </si>
  <si>
    <t>Total Other Expenses</t>
  </si>
  <si>
    <t>Net Other Income</t>
  </si>
  <si>
    <t>Wednesday, Jan 15, 2025 11:59:21 AM GMT-8 - Accrual Basis</t>
  </si>
  <si>
    <t>Exact BenDay LLC</t>
  </si>
  <si>
    <t xml:space="preserve">   5000 Office Expense</t>
  </si>
  <si>
    <t xml:space="preserve">   5020 Computer and Internet Expenses</t>
  </si>
  <si>
    <t xml:space="preserve">      5021 Software Expense</t>
  </si>
  <si>
    <t xml:space="preserve">   Total 5020 Computer and Internet Expenses</t>
  </si>
  <si>
    <t xml:space="preserve">   5100 Marketing and Advertising</t>
  </si>
  <si>
    <t xml:space="preserve">   5600 Bank Service Charges</t>
  </si>
  <si>
    <t xml:space="preserve">   7000 Operating Expenses</t>
  </si>
  <si>
    <t xml:space="preserve">      7070 Utilities Trash</t>
  </si>
  <si>
    <t xml:space="preserve">   Total 7000 Operating Expenses</t>
  </si>
  <si>
    <t xml:space="preserve">      7035 Snow Removal</t>
  </si>
  <si>
    <t xml:space="preserve">   8000 Taxes</t>
  </si>
  <si>
    <t xml:space="preserve">   Total 8000 Taxes</t>
  </si>
  <si>
    <t xml:space="preserve">   8100 Insurance Exp</t>
  </si>
  <si>
    <t xml:space="preserve">   9020 Interest Expense</t>
  </si>
  <si>
    <t>Other Income</t>
  </si>
  <si>
    <t xml:space="preserve">   4631 Interest Income</t>
  </si>
  <si>
    <t>Total Other Income</t>
  </si>
  <si>
    <t>Wednesday, Apr 02, 2025 10:31:03 PM GMT-7 - Accrual Basis</t>
  </si>
  <si>
    <t>Sunday, Jan 19, 2025 09:32:04 AM GMT-8 - Accrual Basis</t>
  </si>
  <si>
    <t xml:space="preserve">   5050 Licenses and Permits</t>
  </si>
  <si>
    <t xml:space="preserve">   5051 Fees &amp; Permits</t>
  </si>
  <si>
    <t xml:space="preserve">      5280 Contract Labor &amp; Services</t>
  </si>
  <si>
    <t>Thursday, Dec 19, 2024 11:29:07 AM GMT-8 - Accrual Basis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</si>
</sst>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9" formatCode="&quot;$&quot;0.00"/>
    <numFmt numFmtId="170" formatCode="#,##0.00\ _€"/>
    <numFmt numFmtId="171" formatCode="&quot;$&quot;* #,##0.00\ _€"/>
  </numFmts>
  <fonts count="14" x14ac:knownFonts="1">
    <font>
      <sz val="11"/>
      <color rgb="FF000000"/>
      <name val="Calibri"/>
      <scheme val="minor"/>
    </font>
    <font>
      <sz val="11"/>
      <color rgb="FF000000"/>
      <name val="Calibri"/>
    </font>
    <font>
      <sz val="11"/>
      <color theme="1"/>
      <name val="Calibri"/>
      <scheme val="minor"/>
    </font>
    <font>
      <b/>
      <sz val="15"/>
      <color theme="1"/>
      <name val="Calibri"/>
    </font>
    <font>
      <sz val="8"/>
      <color theme="1"/>
      <name val="Calibri"/>
    </font>
    <font>
      <b/>
      <sz val="13"/>
      <color theme="1"/>
      <name val="Calibri"/>
    </font>
    <font>
      <b/>
      <sz val="11"/>
      <color theme="1"/>
      <name val="Calibri"/>
    </font>
    <font>
      <sz val="11"/>
      <color theme="1"/>
      <name val="Calibri"/>
    </font>
    <font>
      <b/>
      <sz val="14"/>
      <color rgb="FF000000"/>
      <name val="Arial"/>
    </font>
    <font>
      <b/>
      <sz val="10"/>
      <color rgb="FF000000"/>
      <name val="Arial"/>
    </font>
    <font>
      <b/>
      <sz val="9"/>
      <color rgb="FF000000"/>
      <name val="Arial"/>
    </font>
    <font>
      <b/>
      <sz val="8"/>
      <color rgb="FF000000"/>
      <name val="Arial"/>
    </font>
    <font>
      <sz val="8"/>
      <color rgb="FF000000"/>
      <name val="Arial"/>
    </font>
    <font>
      <b/>
      <sz val="11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/>
    <xf numFmtId="0" fontId="4" fillId="0" borderId="0" xfId="0" applyFont="1" applyAlignment="1">
      <alignment horizontal="left" vertical="top" wrapText="1"/>
    </xf>
    <xf numFmtId="0" fontId="6" fillId="0" borderId="0" xfId="0" applyFont="1"/>
    <xf numFmtId="1" fontId="7" fillId="0" borderId="0" xfId="0" applyNumberFormat="1" applyFont="1"/>
    <xf numFmtId="14" fontId="7" fillId="0" borderId="0" xfId="0" applyNumberFormat="1" applyFont="1"/>
    <xf numFmtId="169" fontId="7" fillId="0" borderId="0" xfId="0" applyNumberFormat="1" applyFont="1"/>
    <xf numFmtId="169" fontId="6" fillId="0" borderId="0" xfId="0" applyNumberFormat="1" applyFont="1"/>
    <xf numFmtId="1" fontId="6" fillId="0" borderId="0" xfId="0" applyNumberFormat="1" applyFont="1"/>
    <xf numFmtId="0" fontId="1" fillId="0" borderId="0" xfId="0" applyFont="1" applyAlignment="1">
      <alignment wrapText="1"/>
    </xf>
    <xf numFmtId="0" fontId="10" fillId="0" borderId="1" xfId="0" applyFont="1" applyBorder="1" applyAlignment="1">
      <alignment horizontal="center" wrapText="1"/>
    </xf>
    <xf numFmtId="0" fontId="11" fillId="0" borderId="0" xfId="0" applyFont="1" applyAlignment="1">
      <alignment horizontal="left" wrapText="1"/>
    </xf>
    <xf numFmtId="170" fontId="12" fillId="0" borderId="0" xfId="0" applyNumberFormat="1" applyFont="1" applyAlignment="1">
      <alignment wrapText="1"/>
    </xf>
    <xf numFmtId="170" fontId="12" fillId="0" borderId="0" xfId="0" applyNumberFormat="1" applyFont="1" applyAlignment="1">
      <alignment horizontal="right" wrapText="1"/>
    </xf>
    <xf numFmtId="171" fontId="11" fillId="0" borderId="2" xfId="0" applyNumberFormat="1" applyFont="1" applyBorder="1" applyAlignment="1">
      <alignment horizontal="right" wrapText="1"/>
    </xf>
    <xf numFmtId="0" fontId="13" fillId="0" borderId="0" xfId="0" applyFont="1"/>
    <xf numFmtId="0" fontId="3" fillId="0" borderId="0" xfId="0" applyFont="1" applyAlignment="1">
      <alignment horizontal="center" vertical="top" wrapText="1"/>
    </xf>
    <xf numFmtId="0" fontId="0" fillId="0" borderId="0" xfId="0"/>
    <xf numFmtId="0" fontId="5" fillId="0" borderId="0" xfId="0" applyFont="1" applyAlignment="1">
      <alignment wrapText="1"/>
    </xf>
    <xf numFmtId="0" fontId="6" fillId="0" borderId="0" xfId="0" applyFont="1"/>
    <xf numFmtId="0" fontId="2" fillId="0" borderId="0" xfId="0" applyFont="1"/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838200" cy="55245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838200" cy="552450"/>
    <xdr:pic>
      <xdr:nvPicPr>
        <xdr:cNvPr id="2" name="image2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1000"/>
  <sheetViews>
    <sheetView tabSelected="1" workbookViewId="0"/>
  </sheetViews>
  <sheetFormatPr defaultColWidth="14.44140625" defaultRowHeight="15" customHeight="1" x14ac:dyDescent="0.3"/>
  <cols>
    <col min="1" max="1" width="16" customWidth="1"/>
    <col min="2" max="4" width="34" customWidth="1"/>
    <col min="5" max="5" width="50" customWidth="1"/>
    <col min="6" max="26" width="8.6640625" customWidth="1"/>
  </cols>
  <sheetData>
    <row r="1" spans="1:15" ht="43.5" customHeight="1" x14ac:dyDescent="0.3">
      <c r="A1" s="1"/>
      <c r="B1" s="16" t="s">
        <v>1</v>
      </c>
      <c r="C1" s="17"/>
      <c r="D1" s="17"/>
      <c r="E1" s="2" t="s">
        <v>2</v>
      </c>
    </row>
    <row r="3" spans="1:15" ht="19.5" customHeight="1" x14ac:dyDescent="0.35">
      <c r="A3" s="18" t="s">
        <v>3</v>
      </c>
      <c r="B3" s="17"/>
      <c r="C3" s="17"/>
      <c r="D3" s="17"/>
      <c r="E3" s="17"/>
    </row>
    <row r="4" spans="1:15" ht="14.4" x14ac:dyDescent="0.3">
      <c r="A4" s="19" t="s">
        <v>4</v>
      </c>
      <c r="B4" s="17"/>
      <c r="C4" s="17"/>
      <c r="D4" s="17"/>
      <c r="E4" s="17"/>
      <c r="F4" s="17"/>
      <c r="G4" s="17"/>
      <c r="H4" s="17"/>
      <c r="I4" s="17"/>
      <c r="J4" s="19" t="s">
        <v>5</v>
      </c>
      <c r="K4" s="17"/>
      <c r="L4" s="17"/>
      <c r="M4" s="19" t="s">
        <v>4</v>
      </c>
      <c r="N4" s="17"/>
      <c r="O4" s="17"/>
    </row>
    <row r="5" spans="1:15" ht="14.4" x14ac:dyDescent="0.3">
      <c r="A5" s="3" t="s">
        <v>6</v>
      </c>
      <c r="B5" s="3" t="s">
        <v>7</v>
      </c>
      <c r="C5" s="3" t="s">
        <v>8</v>
      </c>
      <c r="D5" s="3" t="s">
        <v>9</v>
      </c>
      <c r="E5" s="3" t="s">
        <v>10</v>
      </c>
      <c r="F5" s="3" t="s">
        <v>11</v>
      </c>
      <c r="G5" s="3" t="s">
        <v>12</v>
      </c>
      <c r="H5" s="3" t="s">
        <v>13</v>
      </c>
      <c r="I5" s="3" t="s">
        <v>14</v>
      </c>
      <c r="J5" s="3" t="s">
        <v>15</v>
      </c>
      <c r="K5" s="3" t="s">
        <v>16</v>
      </c>
      <c r="L5" s="3" t="s">
        <v>17</v>
      </c>
      <c r="M5" s="3" t="s">
        <v>18</v>
      </c>
      <c r="N5" s="3" t="s">
        <v>19</v>
      </c>
      <c r="O5" s="3" t="s">
        <v>20</v>
      </c>
    </row>
    <row r="6" spans="1:15" ht="14.4" x14ac:dyDescent="0.3">
      <c r="A6" s="20" t="s">
        <v>3</v>
      </c>
      <c r="B6" s="17"/>
      <c r="C6" s="17"/>
      <c r="D6" s="17"/>
      <c r="E6" s="17"/>
      <c r="F6" s="17"/>
      <c r="G6" s="17"/>
      <c r="H6" s="17"/>
      <c r="I6" s="17"/>
      <c r="J6" s="20" t="s">
        <v>4</v>
      </c>
      <c r="K6" s="17"/>
      <c r="L6" s="17"/>
      <c r="M6" s="20" t="s">
        <v>4</v>
      </c>
      <c r="N6" s="17"/>
      <c r="O6" s="17"/>
    </row>
    <row r="7" spans="1:15" ht="14.4" x14ac:dyDescent="0.3">
      <c r="A7" s="1" t="s">
        <v>21</v>
      </c>
      <c r="B7" s="1" t="s">
        <v>22</v>
      </c>
      <c r="C7" s="1" t="s">
        <v>23</v>
      </c>
      <c r="D7" s="1" t="s">
        <v>24</v>
      </c>
      <c r="E7" s="1" t="s">
        <v>25</v>
      </c>
      <c r="F7" s="4">
        <v>585</v>
      </c>
      <c r="G7" s="1" t="s">
        <v>26</v>
      </c>
      <c r="H7" s="5">
        <v>45413</v>
      </c>
      <c r="I7" s="6">
        <v>650</v>
      </c>
      <c r="J7" s="6">
        <v>803</v>
      </c>
      <c r="K7" s="6">
        <v>0</v>
      </c>
      <c r="L7" s="6">
        <v>803</v>
      </c>
      <c r="M7" s="6">
        <v>650</v>
      </c>
      <c r="N7" s="6">
        <v>0</v>
      </c>
      <c r="O7" s="6">
        <v>0</v>
      </c>
    </row>
    <row r="8" spans="1:15" ht="14.4" x14ac:dyDescent="0.3">
      <c r="A8" s="1" t="s">
        <v>27</v>
      </c>
      <c r="B8" s="1" t="s">
        <v>28</v>
      </c>
      <c r="C8" s="1" t="s">
        <v>29</v>
      </c>
      <c r="D8" s="1" t="s">
        <v>24</v>
      </c>
      <c r="E8" s="1" t="s">
        <v>30</v>
      </c>
      <c r="F8" s="4">
        <v>680</v>
      </c>
      <c r="G8" s="1" t="s">
        <v>26</v>
      </c>
      <c r="H8" s="5">
        <v>45394</v>
      </c>
      <c r="I8" s="6">
        <v>700</v>
      </c>
      <c r="J8" s="6">
        <v>865</v>
      </c>
      <c r="K8" s="6">
        <v>0</v>
      </c>
      <c r="L8" s="6">
        <v>865</v>
      </c>
      <c r="M8" s="6">
        <v>700</v>
      </c>
      <c r="N8" s="6">
        <v>0</v>
      </c>
      <c r="O8" s="6">
        <v>0</v>
      </c>
    </row>
    <row r="9" spans="1:15" ht="14.4" x14ac:dyDescent="0.3">
      <c r="A9" s="1" t="s">
        <v>31</v>
      </c>
      <c r="B9" s="1" t="s">
        <v>32</v>
      </c>
      <c r="C9" s="1" t="s">
        <v>33</v>
      </c>
      <c r="D9" s="1" t="s">
        <v>34</v>
      </c>
      <c r="E9" s="1" t="s">
        <v>25</v>
      </c>
      <c r="F9" s="4">
        <v>650</v>
      </c>
      <c r="G9" s="1" t="s">
        <v>26</v>
      </c>
      <c r="H9" s="5">
        <v>43586</v>
      </c>
      <c r="I9" s="6">
        <v>1054</v>
      </c>
      <c r="J9" s="6">
        <v>1069</v>
      </c>
      <c r="K9" s="6">
        <v>0</v>
      </c>
      <c r="L9" s="6">
        <v>1069</v>
      </c>
      <c r="M9" s="6">
        <v>917.5</v>
      </c>
      <c r="N9" s="6">
        <v>0</v>
      </c>
      <c r="O9" s="6">
        <v>0</v>
      </c>
    </row>
    <row r="10" spans="1:15" ht="14.4" x14ac:dyDescent="0.3">
      <c r="A10" s="1" t="s">
        <v>35</v>
      </c>
      <c r="B10" s="1" t="s">
        <v>36</v>
      </c>
      <c r="C10" s="1" t="s">
        <v>37</v>
      </c>
      <c r="D10" s="1" t="s">
        <v>34</v>
      </c>
      <c r="E10" s="1" t="s">
        <v>25</v>
      </c>
      <c r="F10" s="4">
        <v>600</v>
      </c>
      <c r="G10" s="1" t="s">
        <v>26</v>
      </c>
      <c r="H10" s="5">
        <v>45288</v>
      </c>
      <c r="I10" s="6">
        <v>925</v>
      </c>
      <c r="J10" s="6">
        <v>1077</v>
      </c>
      <c r="K10" s="6">
        <v>0</v>
      </c>
      <c r="L10" s="6">
        <v>1077</v>
      </c>
      <c r="M10" s="6">
        <v>880</v>
      </c>
      <c r="N10" s="6">
        <v>0</v>
      </c>
      <c r="O10" s="6">
        <v>0</v>
      </c>
    </row>
    <row r="11" spans="1:15" ht="14.4" x14ac:dyDescent="0.3">
      <c r="A11" s="1" t="s">
        <v>38</v>
      </c>
      <c r="B11" s="1" t="s">
        <v>39</v>
      </c>
      <c r="C11" s="1" t="s">
        <v>40</v>
      </c>
      <c r="D11" s="1" t="s">
        <v>41</v>
      </c>
      <c r="E11" s="1" t="s">
        <v>30</v>
      </c>
      <c r="F11" s="4">
        <v>790</v>
      </c>
      <c r="G11" s="1" t="s">
        <v>26</v>
      </c>
      <c r="H11" s="5">
        <v>43739</v>
      </c>
      <c r="I11" s="6">
        <v>1236</v>
      </c>
      <c r="J11" s="6">
        <v>1236</v>
      </c>
      <c r="K11" s="6">
        <v>0</v>
      </c>
      <c r="L11" s="6">
        <v>1236</v>
      </c>
      <c r="M11" s="6">
        <v>795</v>
      </c>
      <c r="N11" s="6">
        <v>0</v>
      </c>
      <c r="O11" s="6">
        <v>0</v>
      </c>
    </row>
    <row r="12" spans="1:15" ht="14.4" x14ac:dyDescent="0.3">
      <c r="A12" s="1" t="s">
        <v>42</v>
      </c>
      <c r="B12" s="1" t="s">
        <v>43</v>
      </c>
      <c r="C12" s="1" t="s">
        <v>44</v>
      </c>
      <c r="D12" s="1" t="s">
        <v>34</v>
      </c>
      <c r="E12" s="1" t="s">
        <v>30</v>
      </c>
      <c r="F12" s="4">
        <v>750</v>
      </c>
      <c r="G12" s="1" t="s">
        <v>26</v>
      </c>
      <c r="H12" s="5">
        <v>44176</v>
      </c>
      <c r="I12" s="6">
        <v>1025</v>
      </c>
      <c r="J12" s="6">
        <v>1250</v>
      </c>
      <c r="K12" s="6">
        <v>0</v>
      </c>
      <c r="L12" s="6">
        <v>1250</v>
      </c>
      <c r="M12" s="6">
        <v>1450</v>
      </c>
      <c r="N12" s="6">
        <v>0</v>
      </c>
      <c r="O12" s="6">
        <v>1250</v>
      </c>
    </row>
    <row r="13" spans="1:15" ht="14.4" x14ac:dyDescent="0.3">
      <c r="A13" s="1" t="s">
        <v>45</v>
      </c>
      <c r="B13" s="1" t="s">
        <v>46</v>
      </c>
      <c r="C13" s="1" t="s">
        <v>47</v>
      </c>
      <c r="D13" s="1" t="s">
        <v>48</v>
      </c>
      <c r="E13" s="1" t="s">
        <v>49</v>
      </c>
      <c r="F13" s="4">
        <v>270</v>
      </c>
      <c r="G13" s="1" t="s">
        <v>26</v>
      </c>
      <c r="H13" s="5">
        <v>45499</v>
      </c>
      <c r="I13" s="6">
        <v>550</v>
      </c>
      <c r="J13" s="6">
        <v>656</v>
      </c>
      <c r="K13" s="6">
        <v>0</v>
      </c>
      <c r="L13" s="6">
        <v>656</v>
      </c>
      <c r="M13" s="6">
        <v>550</v>
      </c>
      <c r="N13" s="6">
        <v>0</v>
      </c>
      <c r="O13" s="6">
        <v>0</v>
      </c>
    </row>
    <row r="14" spans="1:15" ht="14.4" x14ac:dyDescent="0.3">
      <c r="A14" s="1" t="s">
        <v>50</v>
      </c>
      <c r="B14" s="1" t="s">
        <v>51</v>
      </c>
      <c r="C14" s="1" t="s">
        <v>52</v>
      </c>
      <c r="D14" s="1" t="s">
        <v>53</v>
      </c>
      <c r="E14" s="1" t="s">
        <v>30</v>
      </c>
      <c r="F14" s="4">
        <v>760</v>
      </c>
      <c r="G14" s="1" t="s">
        <v>26</v>
      </c>
      <c r="H14" s="5">
        <v>42307</v>
      </c>
      <c r="I14" s="6">
        <v>1188</v>
      </c>
      <c r="J14" s="6">
        <v>1193</v>
      </c>
      <c r="K14" s="6">
        <v>0</v>
      </c>
      <c r="L14" s="6">
        <v>1193</v>
      </c>
      <c r="M14" s="6">
        <v>992.5</v>
      </c>
      <c r="N14" s="6">
        <v>0</v>
      </c>
      <c r="O14" s="6">
        <v>1183</v>
      </c>
    </row>
    <row r="15" spans="1:15" ht="14.4" x14ac:dyDescent="0.3">
      <c r="A15" s="1" t="s">
        <v>54</v>
      </c>
      <c r="B15" s="1" t="s">
        <v>55</v>
      </c>
      <c r="C15" s="1" t="s">
        <v>56</v>
      </c>
      <c r="D15" s="1" t="s">
        <v>41</v>
      </c>
      <c r="E15" s="1" t="s">
        <v>30</v>
      </c>
      <c r="F15" s="4">
        <v>760</v>
      </c>
      <c r="G15" s="1" t="s">
        <v>26</v>
      </c>
      <c r="H15" s="5">
        <v>42265</v>
      </c>
      <c r="I15" s="6">
        <v>1213</v>
      </c>
      <c r="J15" s="6">
        <v>1213</v>
      </c>
      <c r="K15" s="6">
        <v>0</v>
      </c>
      <c r="L15" s="6">
        <v>1213</v>
      </c>
      <c r="M15" s="6">
        <v>992.5</v>
      </c>
      <c r="N15" s="6">
        <v>0</v>
      </c>
      <c r="O15" s="6">
        <v>1200</v>
      </c>
    </row>
    <row r="16" spans="1:15" ht="14.4" x14ac:dyDescent="0.3">
      <c r="A16" s="1" t="s">
        <v>57</v>
      </c>
      <c r="B16" s="1" t="s">
        <v>58</v>
      </c>
      <c r="C16" s="1" t="s">
        <v>59</v>
      </c>
      <c r="D16" s="1" t="s">
        <v>53</v>
      </c>
      <c r="E16" s="1" t="s">
        <v>30</v>
      </c>
      <c r="F16" s="4">
        <v>760</v>
      </c>
      <c r="G16" s="1" t="s">
        <v>26</v>
      </c>
      <c r="H16" s="5">
        <v>42331</v>
      </c>
      <c r="I16" s="6">
        <v>1168</v>
      </c>
      <c r="J16" s="6">
        <v>1173</v>
      </c>
      <c r="K16" s="6">
        <v>0</v>
      </c>
      <c r="L16" s="6">
        <v>1173</v>
      </c>
      <c r="M16" s="6">
        <v>925</v>
      </c>
      <c r="N16" s="6">
        <v>0</v>
      </c>
      <c r="O16" s="6">
        <v>1173</v>
      </c>
    </row>
    <row r="17" spans="1:15" ht="14.4" x14ac:dyDescent="0.3">
      <c r="A17" s="1" t="s">
        <v>60</v>
      </c>
      <c r="B17" s="1" t="s">
        <v>61</v>
      </c>
      <c r="C17" s="1" t="s">
        <v>62</v>
      </c>
      <c r="D17" s="1" t="s">
        <v>24</v>
      </c>
      <c r="E17" s="1" t="s">
        <v>30</v>
      </c>
      <c r="F17" s="4">
        <v>720</v>
      </c>
      <c r="G17" s="1" t="s">
        <v>26</v>
      </c>
      <c r="H17" s="5">
        <v>43224</v>
      </c>
      <c r="I17" s="6">
        <v>1098</v>
      </c>
      <c r="J17" s="6">
        <v>1103</v>
      </c>
      <c r="K17" s="6">
        <v>0</v>
      </c>
      <c r="L17" s="6">
        <v>1103</v>
      </c>
      <c r="M17" s="6">
        <v>940</v>
      </c>
      <c r="N17" s="6">
        <v>696</v>
      </c>
      <c r="O17" s="6">
        <v>0</v>
      </c>
    </row>
    <row r="18" spans="1:15" ht="14.4" x14ac:dyDescent="0.3">
      <c r="A18" s="1" t="s">
        <v>63</v>
      </c>
      <c r="B18" s="1" t="s">
        <v>64</v>
      </c>
      <c r="C18" s="1" t="s">
        <v>65</v>
      </c>
      <c r="D18" s="1" t="s">
        <v>41</v>
      </c>
      <c r="E18" s="1" t="s">
        <v>25</v>
      </c>
      <c r="F18" s="4">
        <v>505</v>
      </c>
      <c r="G18" s="1" t="s">
        <v>26</v>
      </c>
      <c r="H18" s="5">
        <v>43728</v>
      </c>
      <c r="I18" s="6">
        <v>987</v>
      </c>
      <c r="J18" s="6">
        <v>987</v>
      </c>
      <c r="K18" s="6">
        <v>0</v>
      </c>
      <c r="L18" s="6">
        <v>987</v>
      </c>
      <c r="M18" s="6">
        <v>1125</v>
      </c>
      <c r="N18" s="6">
        <v>0</v>
      </c>
      <c r="O18" s="6">
        <v>381.08</v>
      </c>
    </row>
    <row r="19" spans="1:15" ht="14.4" x14ac:dyDescent="0.3">
      <c r="A19" s="1" t="s">
        <v>66</v>
      </c>
      <c r="B19" s="1" t="s">
        <v>67</v>
      </c>
      <c r="C19" s="1" t="s">
        <v>68</v>
      </c>
      <c r="D19" s="1" t="s">
        <v>48</v>
      </c>
      <c r="E19" s="1" t="s">
        <v>69</v>
      </c>
      <c r="F19" s="4">
        <v>1000</v>
      </c>
      <c r="G19" s="1" t="s">
        <v>26</v>
      </c>
      <c r="H19" s="5">
        <v>45505</v>
      </c>
      <c r="I19" s="6">
        <v>1050</v>
      </c>
      <c r="J19" s="6">
        <v>1320</v>
      </c>
      <c r="K19" s="6">
        <v>0</v>
      </c>
      <c r="L19" s="6">
        <v>1320</v>
      </c>
      <c r="M19" s="6">
        <v>1575</v>
      </c>
      <c r="N19" s="6">
        <v>0</v>
      </c>
      <c r="O19" s="6">
        <v>0</v>
      </c>
    </row>
    <row r="20" spans="1:15" ht="14.4" x14ac:dyDescent="0.3">
      <c r="A20" s="1" t="s">
        <v>70</v>
      </c>
      <c r="B20" s="1" t="s">
        <v>71</v>
      </c>
      <c r="C20" s="1" t="s">
        <v>72</v>
      </c>
      <c r="D20" s="1" t="s">
        <v>73</v>
      </c>
      <c r="E20" s="1" t="s">
        <v>74</v>
      </c>
      <c r="F20" s="4">
        <v>1100</v>
      </c>
      <c r="G20" s="1" t="s">
        <v>26</v>
      </c>
      <c r="H20" s="5">
        <v>45464</v>
      </c>
      <c r="I20" s="6">
        <v>1095</v>
      </c>
      <c r="J20" s="6">
        <v>1445</v>
      </c>
      <c r="K20" s="6">
        <v>0</v>
      </c>
      <c r="L20" s="6">
        <v>1445</v>
      </c>
      <c r="M20" s="6">
        <v>2040</v>
      </c>
      <c r="N20" s="6">
        <v>0</v>
      </c>
      <c r="O20" s="6">
        <v>1445</v>
      </c>
    </row>
    <row r="21" spans="1:15" ht="15.75" customHeight="1" x14ac:dyDescent="0.3">
      <c r="A21" s="1" t="s">
        <v>75</v>
      </c>
      <c r="B21" s="1" t="s">
        <v>76</v>
      </c>
      <c r="C21" s="1" t="s">
        <v>77</v>
      </c>
      <c r="D21" s="1" t="s">
        <v>53</v>
      </c>
      <c r="E21" s="1" t="s">
        <v>69</v>
      </c>
      <c r="F21" s="4">
        <v>1300</v>
      </c>
      <c r="G21" s="1" t="s">
        <v>26</v>
      </c>
      <c r="H21" s="5">
        <v>45623</v>
      </c>
      <c r="I21" s="6">
        <v>1075</v>
      </c>
      <c r="J21" s="6">
        <v>1440</v>
      </c>
      <c r="K21" s="6">
        <v>0</v>
      </c>
      <c r="L21" s="6">
        <v>1440</v>
      </c>
      <c r="M21" s="6">
        <v>1462</v>
      </c>
      <c r="N21" s="6">
        <v>0</v>
      </c>
      <c r="O21" s="6">
        <v>1440</v>
      </c>
    </row>
    <row r="22" spans="1:15" ht="15.75" customHeight="1" x14ac:dyDescent="0.3">
      <c r="A22" s="1" t="s">
        <v>78</v>
      </c>
      <c r="B22" s="1" t="s">
        <v>79</v>
      </c>
      <c r="C22" s="1" t="s">
        <v>80</v>
      </c>
      <c r="D22" s="1" t="s">
        <v>53</v>
      </c>
      <c r="E22" s="1" t="s">
        <v>69</v>
      </c>
      <c r="F22" s="4">
        <v>1050</v>
      </c>
      <c r="G22" s="1" t="s">
        <v>26</v>
      </c>
      <c r="H22" s="5">
        <v>43385</v>
      </c>
      <c r="I22" s="6">
        <v>1373</v>
      </c>
      <c r="J22" s="6">
        <v>1378</v>
      </c>
      <c r="K22" s="6">
        <v>0</v>
      </c>
      <c r="L22" s="6">
        <v>1378</v>
      </c>
      <c r="M22" s="6">
        <v>815</v>
      </c>
      <c r="N22" s="6">
        <v>40</v>
      </c>
      <c r="O22" s="6">
        <v>-220</v>
      </c>
    </row>
    <row r="23" spans="1:15" ht="15.75" customHeight="1" x14ac:dyDescent="0.3">
      <c r="A23" s="1" t="s">
        <v>81</v>
      </c>
      <c r="B23" s="1" t="s">
        <v>82</v>
      </c>
      <c r="C23" s="1" t="s">
        <v>83</v>
      </c>
      <c r="D23" s="1" t="s">
        <v>73</v>
      </c>
      <c r="E23" s="1" t="s">
        <v>30</v>
      </c>
      <c r="F23" s="4">
        <v>750</v>
      </c>
      <c r="G23" s="1" t="s">
        <v>26</v>
      </c>
      <c r="H23" s="5">
        <v>45450</v>
      </c>
      <c r="I23" s="6">
        <v>895</v>
      </c>
      <c r="J23" s="6">
        <v>1096</v>
      </c>
      <c r="K23" s="6">
        <v>0</v>
      </c>
      <c r="L23" s="6">
        <v>1096</v>
      </c>
      <c r="M23" s="6">
        <v>895</v>
      </c>
      <c r="N23" s="6">
        <v>0</v>
      </c>
      <c r="O23" s="6">
        <v>0</v>
      </c>
    </row>
    <row r="24" spans="1:15" ht="15.75" customHeight="1" x14ac:dyDescent="0.3">
      <c r="A24" s="1" t="s">
        <v>84</v>
      </c>
      <c r="B24" s="1" t="s">
        <v>85</v>
      </c>
      <c r="C24" s="1" t="s">
        <v>86</v>
      </c>
      <c r="D24" s="1" t="s">
        <v>87</v>
      </c>
      <c r="E24" s="1" t="s">
        <v>30</v>
      </c>
      <c r="F24" s="4">
        <v>790</v>
      </c>
      <c r="G24" s="1" t="s">
        <v>26</v>
      </c>
      <c r="H24" s="5">
        <v>45506</v>
      </c>
      <c r="I24" s="6">
        <v>850</v>
      </c>
      <c r="J24" s="6">
        <v>1056</v>
      </c>
      <c r="K24" s="6">
        <v>0</v>
      </c>
      <c r="L24" s="6">
        <v>1056</v>
      </c>
      <c r="M24" s="6">
        <v>850</v>
      </c>
      <c r="N24" s="6">
        <v>0</v>
      </c>
      <c r="O24" s="6">
        <v>0</v>
      </c>
    </row>
    <row r="25" spans="1:15" ht="15.75" customHeight="1" x14ac:dyDescent="0.3">
      <c r="A25" s="1" t="s">
        <v>88</v>
      </c>
      <c r="B25" s="1" t="s">
        <v>89</v>
      </c>
      <c r="C25" s="1" t="s">
        <v>90</v>
      </c>
      <c r="D25" s="1" t="s">
        <v>91</v>
      </c>
      <c r="E25" s="1" t="s">
        <v>30</v>
      </c>
      <c r="F25" s="4">
        <v>720</v>
      </c>
      <c r="G25" s="1" t="s">
        <v>26</v>
      </c>
      <c r="H25" s="5">
        <v>45520</v>
      </c>
      <c r="I25" s="6">
        <v>850</v>
      </c>
      <c r="J25" s="6">
        <v>1070</v>
      </c>
      <c r="K25" s="6">
        <v>0</v>
      </c>
      <c r="L25" s="6">
        <v>1070</v>
      </c>
      <c r="M25" s="6">
        <v>850</v>
      </c>
      <c r="N25" s="6">
        <v>0</v>
      </c>
      <c r="O25" s="6">
        <v>1070</v>
      </c>
    </row>
    <row r="26" spans="1:15" ht="15.75" customHeight="1" x14ac:dyDescent="0.3">
      <c r="A26" s="1" t="s">
        <v>92</v>
      </c>
      <c r="B26" s="1" t="s">
        <v>93</v>
      </c>
      <c r="C26" s="1" t="s">
        <v>94</v>
      </c>
      <c r="D26" s="1" t="s">
        <v>48</v>
      </c>
      <c r="E26" s="1" t="s">
        <v>49</v>
      </c>
      <c r="F26" s="4">
        <v>270</v>
      </c>
      <c r="G26" s="1" t="s">
        <v>26</v>
      </c>
      <c r="H26" s="5">
        <v>45481</v>
      </c>
      <c r="I26" s="6">
        <v>595</v>
      </c>
      <c r="J26" s="6">
        <v>701</v>
      </c>
      <c r="K26" s="6">
        <v>0</v>
      </c>
      <c r="L26" s="6">
        <v>701</v>
      </c>
      <c r="M26" s="6">
        <v>595</v>
      </c>
      <c r="N26" s="6">
        <v>0</v>
      </c>
      <c r="O26" s="6">
        <v>701</v>
      </c>
    </row>
    <row r="27" spans="1:15" ht="15.75" customHeight="1" x14ac:dyDescent="0.3">
      <c r="A27" s="1" t="s">
        <v>95</v>
      </c>
      <c r="B27" s="1" t="s">
        <v>96</v>
      </c>
      <c r="C27" s="1" t="s">
        <v>97</v>
      </c>
      <c r="D27" s="1" t="s">
        <v>41</v>
      </c>
      <c r="E27" s="1" t="s">
        <v>30</v>
      </c>
      <c r="F27" s="4">
        <v>790</v>
      </c>
      <c r="G27" s="1" t="s">
        <v>26</v>
      </c>
      <c r="H27" s="5">
        <v>45539</v>
      </c>
      <c r="I27" s="6">
        <v>850</v>
      </c>
      <c r="J27" s="6">
        <v>1070</v>
      </c>
      <c r="K27" s="6">
        <v>0</v>
      </c>
      <c r="L27" s="6">
        <v>1070</v>
      </c>
      <c r="M27" s="6">
        <v>850</v>
      </c>
      <c r="N27" s="6">
        <v>0</v>
      </c>
      <c r="O27" s="6">
        <v>0</v>
      </c>
    </row>
    <row r="28" spans="1:15" ht="15.75" customHeight="1" x14ac:dyDescent="0.3">
      <c r="A28" s="1" t="s">
        <v>98</v>
      </c>
      <c r="B28" s="1" t="s">
        <v>99</v>
      </c>
      <c r="C28" s="1" t="s">
        <v>100</v>
      </c>
      <c r="D28" s="1" t="s">
        <v>101</v>
      </c>
      <c r="E28" s="1" t="s">
        <v>30</v>
      </c>
      <c r="F28" s="4">
        <v>740</v>
      </c>
      <c r="G28" s="1" t="s">
        <v>26</v>
      </c>
      <c r="H28" s="5">
        <v>45566</v>
      </c>
      <c r="I28" s="6">
        <v>850</v>
      </c>
      <c r="J28" s="6">
        <v>1040</v>
      </c>
      <c r="K28" s="6">
        <v>0</v>
      </c>
      <c r="L28" s="6">
        <v>1040</v>
      </c>
      <c r="M28" s="6">
        <v>850</v>
      </c>
      <c r="N28" s="6">
        <v>0</v>
      </c>
      <c r="O28" s="6">
        <v>1040</v>
      </c>
    </row>
    <row r="29" spans="1:15" ht="15.75" customHeight="1" x14ac:dyDescent="0.3">
      <c r="A29" s="1" t="s">
        <v>102</v>
      </c>
      <c r="B29" s="1" t="s">
        <v>103</v>
      </c>
      <c r="C29" s="1" t="s">
        <v>104</v>
      </c>
      <c r="D29" s="1" t="s">
        <v>105</v>
      </c>
      <c r="E29" s="1" t="s">
        <v>30</v>
      </c>
      <c r="F29" s="4">
        <v>740</v>
      </c>
      <c r="G29" s="1" t="s">
        <v>26</v>
      </c>
      <c r="H29" s="5">
        <v>44113</v>
      </c>
      <c r="I29" s="6">
        <v>1020</v>
      </c>
      <c r="J29" s="6">
        <v>1213</v>
      </c>
      <c r="K29" s="6">
        <v>0</v>
      </c>
      <c r="L29" s="6">
        <v>1213</v>
      </c>
      <c r="M29" s="6">
        <v>1015</v>
      </c>
      <c r="N29" s="6">
        <v>0</v>
      </c>
      <c r="O29" s="6">
        <v>1213</v>
      </c>
    </row>
    <row r="30" spans="1:15" ht="15.75" customHeight="1" x14ac:dyDescent="0.3">
      <c r="A30" s="1" t="s">
        <v>106</v>
      </c>
      <c r="B30" s="1" t="s">
        <v>107</v>
      </c>
      <c r="C30" s="1" t="s">
        <v>108</v>
      </c>
      <c r="D30" s="1" t="s">
        <v>73</v>
      </c>
      <c r="E30" s="1" t="s">
        <v>30</v>
      </c>
      <c r="F30" s="4">
        <v>750</v>
      </c>
      <c r="G30" s="1" t="s">
        <v>26</v>
      </c>
      <c r="H30" s="5">
        <v>45474</v>
      </c>
      <c r="I30" s="6">
        <v>925</v>
      </c>
      <c r="J30" s="6">
        <v>1118</v>
      </c>
      <c r="K30" s="6">
        <v>0</v>
      </c>
      <c r="L30" s="6">
        <v>1118</v>
      </c>
      <c r="M30" s="6">
        <v>1387.5</v>
      </c>
      <c r="N30" s="6">
        <v>0</v>
      </c>
      <c r="O30" s="6">
        <v>1118</v>
      </c>
    </row>
    <row r="31" spans="1:15" ht="15.75" customHeight="1" x14ac:dyDescent="0.3">
      <c r="A31" s="1" t="s">
        <v>109</v>
      </c>
      <c r="B31" s="1" t="s">
        <v>110</v>
      </c>
      <c r="C31" s="1" t="s">
        <v>111</v>
      </c>
      <c r="D31" s="1" t="s">
        <v>112</v>
      </c>
      <c r="E31" s="1" t="s">
        <v>25</v>
      </c>
      <c r="F31" s="4">
        <v>503</v>
      </c>
      <c r="G31" s="1" t="s">
        <v>26</v>
      </c>
      <c r="H31" s="5">
        <v>44302</v>
      </c>
      <c r="I31" s="6">
        <v>735</v>
      </c>
      <c r="J31" s="6">
        <v>866</v>
      </c>
      <c r="K31" s="6">
        <v>0</v>
      </c>
      <c r="L31" s="6">
        <v>866</v>
      </c>
      <c r="M31" s="6">
        <v>550</v>
      </c>
      <c r="N31" s="6">
        <v>0</v>
      </c>
      <c r="O31" s="6">
        <v>0</v>
      </c>
    </row>
    <row r="32" spans="1:15" ht="15.75" customHeight="1" x14ac:dyDescent="0.3">
      <c r="A32" s="19" t="s">
        <v>113</v>
      </c>
      <c r="B32" s="17"/>
      <c r="C32" s="17"/>
      <c r="D32" s="17"/>
      <c r="E32" s="17"/>
      <c r="F32" s="17"/>
      <c r="G32" s="17"/>
      <c r="H32" s="17"/>
      <c r="I32" s="7">
        <v>23957</v>
      </c>
      <c r="J32" s="7">
        <v>27438</v>
      </c>
      <c r="K32" s="7">
        <v>0</v>
      </c>
      <c r="L32" s="7">
        <v>27438</v>
      </c>
      <c r="M32" s="7">
        <v>24652</v>
      </c>
      <c r="N32" s="7">
        <v>736</v>
      </c>
      <c r="O32" s="7">
        <v>12994.08</v>
      </c>
    </row>
    <row r="33" spans="1:15" ht="15.75" customHeight="1" x14ac:dyDescent="0.3">
      <c r="A33" s="20" t="s">
        <v>114</v>
      </c>
      <c r="B33" s="17"/>
      <c r="C33" s="17"/>
      <c r="D33" s="17"/>
      <c r="E33" s="17"/>
      <c r="F33" s="17"/>
      <c r="G33" s="17"/>
      <c r="H33" s="17"/>
      <c r="I33" s="17"/>
      <c r="J33" s="20" t="s">
        <v>4</v>
      </c>
      <c r="K33" s="17"/>
      <c r="L33" s="17"/>
      <c r="M33" s="20" t="s">
        <v>4</v>
      </c>
      <c r="N33" s="17"/>
      <c r="O33" s="17"/>
    </row>
    <row r="34" spans="1:15" ht="15.75" customHeight="1" x14ac:dyDescent="0.3">
      <c r="A34" s="1" t="s">
        <v>115</v>
      </c>
      <c r="B34" s="1" t="s">
        <v>116</v>
      </c>
      <c r="C34" s="1" t="s">
        <v>117</v>
      </c>
      <c r="D34" s="1" t="s">
        <v>34</v>
      </c>
      <c r="E34" s="1" t="s">
        <v>25</v>
      </c>
      <c r="F34" s="4">
        <v>664</v>
      </c>
      <c r="G34" s="1" t="s">
        <v>26</v>
      </c>
      <c r="H34" s="5">
        <v>45656</v>
      </c>
      <c r="I34" s="6">
        <v>850</v>
      </c>
      <c r="J34" s="6">
        <v>1068</v>
      </c>
      <c r="K34" s="6">
        <v>0</v>
      </c>
      <c r="L34" s="6">
        <v>1068</v>
      </c>
      <c r="M34" s="6">
        <v>1125</v>
      </c>
      <c r="N34" s="6">
        <v>0</v>
      </c>
      <c r="O34" s="6">
        <v>0</v>
      </c>
    </row>
    <row r="35" spans="1:15" ht="15.75" customHeight="1" x14ac:dyDescent="0.3">
      <c r="A35" s="1" t="s">
        <v>118</v>
      </c>
      <c r="B35" s="1" t="s">
        <v>119</v>
      </c>
      <c r="C35" s="1" t="s">
        <v>4</v>
      </c>
      <c r="D35" s="1" t="s">
        <v>4</v>
      </c>
      <c r="E35" s="1" t="s">
        <v>25</v>
      </c>
      <c r="F35" s="4">
        <v>721</v>
      </c>
      <c r="G35" s="1" t="s">
        <v>4</v>
      </c>
      <c r="H35" s="5" t="s">
        <v>4</v>
      </c>
      <c r="I35" s="6"/>
      <c r="J35" s="6">
        <v>0</v>
      </c>
      <c r="K35" s="6">
        <v>0</v>
      </c>
      <c r="L35" s="6">
        <v>0</v>
      </c>
      <c r="M35" s="6">
        <v>0</v>
      </c>
      <c r="N35" s="6">
        <v>0</v>
      </c>
      <c r="O35" s="6">
        <v>0</v>
      </c>
    </row>
    <row r="36" spans="1:15" ht="15.75" customHeight="1" x14ac:dyDescent="0.3">
      <c r="A36" s="1" t="s">
        <v>120</v>
      </c>
      <c r="B36" s="1" t="s">
        <v>121</v>
      </c>
      <c r="C36" s="1" t="s">
        <v>122</v>
      </c>
      <c r="D36" s="1" t="s">
        <v>123</v>
      </c>
      <c r="E36" s="1" t="s">
        <v>25</v>
      </c>
      <c r="F36" s="4">
        <v>660</v>
      </c>
      <c r="G36" s="1" t="s">
        <v>26</v>
      </c>
      <c r="H36" s="5">
        <v>45717</v>
      </c>
      <c r="I36" s="6">
        <v>925</v>
      </c>
      <c r="J36" s="6">
        <v>1139</v>
      </c>
      <c r="K36" s="6">
        <v>0</v>
      </c>
      <c r="L36" s="6">
        <v>1139</v>
      </c>
      <c r="M36" s="6">
        <v>925</v>
      </c>
      <c r="N36" s="6">
        <v>0</v>
      </c>
      <c r="O36" s="6">
        <v>0</v>
      </c>
    </row>
    <row r="37" spans="1:15" ht="15.75" customHeight="1" x14ac:dyDescent="0.3">
      <c r="A37" s="1" t="s">
        <v>124</v>
      </c>
      <c r="B37" s="1" t="s">
        <v>125</v>
      </c>
      <c r="C37" s="1" t="s">
        <v>126</v>
      </c>
      <c r="D37" s="1" t="s">
        <v>48</v>
      </c>
      <c r="E37" s="1" t="s">
        <v>30</v>
      </c>
      <c r="F37" s="4">
        <v>763</v>
      </c>
      <c r="G37" s="1" t="s">
        <v>26</v>
      </c>
      <c r="H37" s="5">
        <v>45485</v>
      </c>
      <c r="I37" s="6">
        <v>1015</v>
      </c>
      <c r="J37" s="6">
        <v>1264</v>
      </c>
      <c r="K37" s="6">
        <v>0</v>
      </c>
      <c r="L37" s="6">
        <v>1264</v>
      </c>
      <c r="M37" s="6">
        <v>1015</v>
      </c>
      <c r="N37" s="6">
        <v>0</v>
      </c>
      <c r="O37" s="6">
        <v>1264</v>
      </c>
    </row>
    <row r="38" spans="1:15" ht="15.75" customHeight="1" x14ac:dyDescent="0.3">
      <c r="A38" s="1" t="s">
        <v>127</v>
      </c>
      <c r="B38" s="1" t="s">
        <v>128</v>
      </c>
      <c r="C38" s="1" t="s">
        <v>129</v>
      </c>
      <c r="D38" s="1" t="s">
        <v>24</v>
      </c>
      <c r="E38" s="1" t="s">
        <v>25</v>
      </c>
      <c r="F38" s="4">
        <v>602</v>
      </c>
      <c r="G38" s="1" t="s">
        <v>26</v>
      </c>
      <c r="H38" s="5">
        <v>45495</v>
      </c>
      <c r="I38" s="6">
        <v>800</v>
      </c>
      <c r="J38" s="6">
        <v>990</v>
      </c>
      <c r="K38" s="6">
        <v>0</v>
      </c>
      <c r="L38" s="6">
        <v>990</v>
      </c>
      <c r="M38" s="6">
        <v>800</v>
      </c>
      <c r="N38" s="6">
        <v>0</v>
      </c>
      <c r="O38" s="6">
        <v>0</v>
      </c>
    </row>
    <row r="39" spans="1:15" ht="15.75" customHeight="1" x14ac:dyDescent="0.3">
      <c r="A39" s="1" t="s">
        <v>130</v>
      </c>
      <c r="B39" s="1" t="s">
        <v>131</v>
      </c>
      <c r="C39" s="1" t="s">
        <v>132</v>
      </c>
      <c r="D39" s="1" t="s">
        <v>112</v>
      </c>
      <c r="E39" s="1" t="s">
        <v>49</v>
      </c>
      <c r="F39" s="4">
        <v>424</v>
      </c>
      <c r="G39" s="1" t="s">
        <v>26</v>
      </c>
      <c r="H39" s="5">
        <v>45078</v>
      </c>
      <c r="I39" s="6">
        <v>750</v>
      </c>
      <c r="J39" s="6">
        <v>885</v>
      </c>
      <c r="K39" s="6">
        <v>0</v>
      </c>
      <c r="L39" s="6">
        <v>885</v>
      </c>
      <c r="M39" s="6">
        <v>575</v>
      </c>
      <c r="N39" s="6">
        <v>0</v>
      </c>
      <c r="O39" s="6">
        <v>0</v>
      </c>
    </row>
    <row r="40" spans="1:15" ht="15.75" customHeight="1" x14ac:dyDescent="0.3">
      <c r="A40" s="1" t="s">
        <v>133</v>
      </c>
      <c r="B40" s="1" t="s">
        <v>134</v>
      </c>
      <c r="C40" s="1" t="s">
        <v>23</v>
      </c>
      <c r="D40" s="1" t="s">
        <v>24</v>
      </c>
      <c r="E40" s="1" t="s">
        <v>30</v>
      </c>
      <c r="F40" s="4">
        <v>735</v>
      </c>
      <c r="G40" s="1" t="s">
        <v>26</v>
      </c>
      <c r="H40" s="5">
        <v>45413</v>
      </c>
      <c r="I40" s="6">
        <v>1005</v>
      </c>
      <c r="J40" s="6">
        <v>1243</v>
      </c>
      <c r="K40" s="6">
        <v>0</v>
      </c>
      <c r="L40" s="6">
        <v>1243</v>
      </c>
      <c r="M40" s="6">
        <v>1005</v>
      </c>
      <c r="N40" s="6">
        <v>0</v>
      </c>
      <c r="O40" s="6">
        <v>0</v>
      </c>
    </row>
    <row r="41" spans="1:15" ht="15.75" customHeight="1" x14ac:dyDescent="0.3">
      <c r="A41" s="1" t="s">
        <v>135</v>
      </c>
      <c r="B41" s="1" t="s">
        <v>136</v>
      </c>
      <c r="C41" s="1" t="s">
        <v>137</v>
      </c>
      <c r="D41" s="1" t="s">
        <v>53</v>
      </c>
      <c r="E41" s="1" t="s">
        <v>30</v>
      </c>
      <c r="F41" s="4">
        <v>785</v>
      </c>
      <c r="G41" s="1" t="s">
        <v>26</v>
      </c>
      <c r="H41" s="5">
        <v>44323</v>
      </c>
      <c r="I41" s="6">
        <v>1010</v>
      </c>
      <c r="J41" s="6">
        <v>1269</v>
      </c>
      <c r="K41" s="6">
        <v>0</v>
      </c>
      <c r="L41" s="6">
        <v>1269</v>
      </c>
      <c r="M41" s="6">
        <v>865</v>
      </c>
      <c r="N41" s="6">
        <v>0</v>
      </c>
      <c r="O41" s="6">
        <v>1269</v>
      </c>
    </row>
    <row r="42" spans="1:15" ht="15.75" customHeight="1" x14ac:dyDescent="0.3">
      <c r="A42" s="1" t="s">
        <v>138</v>
      </c>
      <c r="B42" s="1" t="s">
        <v>139</v>
      </c>
      <c r="C42" s="1" t="s">
        <v>140</v>
      </c>
      <c r="D42" s="1" t="s">
        <v>34</v>
      </c>
      <c r="E42" s="1" t="s">
        <v>30</v>
      </c>
      <c r="F42" s="4">
        <v>712</v>
      </c>
      <c r="G42" s="1" t="s">
        <v>26</v>
      </c>
      <c r="H42" s="5">
        <v>45638</v>
      </c>
      <c r="I42" s="6">
        <v>925</v>
      </c>
      <c r="J42" s="6">
        <v>1160</v>
      </c>
      <c r="K42" s="6">
        <v>0</v>
      </c>
      <c r="L42" s="6">
        <v>1160</v>
      </c>
      <c r="M42" s="6">
        <v>925</v>
      </c>
      <c r="N42" s="6">
        <v>0</v>
      </c>
      <c r="O42" s="6">
        <v>0</v>
      </c>
    </row>
    <row r="43" spans="1:15" ht="15.75" customHeight="1" x14ac:dyDescent="0.3">
      <c r="A43" s="1" t="s">
        <v>141</v>
      </c>
      <c r="B43" s="1" t="s">
        <v>119</v>
      </c>
      <c r="C43" s="1" t="s">
        <v>4</v>
      </c>
      <c r="D43" s="1" t="s">
        <v>4</v>
      </c>
      <c r="E43" s="1" t="s">
        <v>30</v>
      </c>
      <c r="F43" s="4">
        <v>708</v>
      </c>
      <c r="G43" s="1" t="s">
        <v>4</v>
      </c>
      <c r="H43" s="5" t="s">
        <v>4</v>
      </c>
      <c r="I43" s="6"/>
      <c r="J43" s="6">
        <v>0</v>
      </c>
      <c r="K43" s="6">
        <v>0</v>
      </c>
      <c r="L43" s="6">
        <v>0</v>
      </c>
      <c r="M43" s="6">
        <v>0</v>
      </c>
      <c r="N43" s="6">
        <v>0</v>
      </c>
      <c r="O43" s="6">
        <v>0</v>
      </c>
    </row>
    <row r="44" spans="1:15" ht="15.75" customHeight="1" x14ac:dyDescent="0.3">
      <c r="A44" s="1" t="s">
        <v>142</v>
      </c>
      <c r="B44" s="1" t="s">
        <v>143</v>
      </c>
      <c r="C44" s="1" t="s">
        <v>144</v>
      </c>
      <c r="D44" s="1" t="s">
        <v>41</v>
      </c>
      <c r="E44" s="1" t="s">
        <v>30</v>
      </c>
      <c r="F44" s="4">
        <v>714</v>
      </c>
      <c r="G44" s="1" t="s">
        <v>26</v>
      </c>
      <c r="H44" s="5">
        <v>45544</v>
      </c>
      <c r="I44" s="6">
        <v>950</v>
      </c>
      <c r="J44" s="6">
        <v>1170</v>
      </c>
      <c r="K44" s="6">
        <v>0</v>
      </c>
      <c r="L44" s="6">
        <v>1170</v>
      </c>
      <c r="M44" s="6">
        <v>950</v>
      </c>
      <c r="N44" s="6">
        <v>0</v>
      </c>
      <c r="O44" s="6">
        <v>0</v>
      </c>
    </row>
    <row r="45" spans="1:15" ht="15.75" customHeight="1" x14ac:dyDescent="0.3">
      <c r="A45" s="1" t="s">
        <v>145</v>
      </c>
      <c r="B45" s="1" t="s">
        <v>146</v>
      </c>
      <c r="C45" s="1" t="s">
        <v>147</v>
      </c>
      <c r="D45" s="1" t="s">
        <v>24</v>
      </c>
      <c r="E45" s="1" t="s">
        <v>25</v>
      </c>
      <c r="F45" s="4">
        <v>726</v>
      </c>
      <c r="G45" s="1" t="s">
        <v>26</v>
      </c>
      <c r="H45" s="5">
        <v>45030</v>
      </c>
      <c r="I45" s="6">
        <v>915</v>
      </c>
      <c r="J45" s="6">
        <v>1125</v>
      </c>
      <c r="K45" s="6">
        <v>0</v>
      </c>
      <c r="L45" s="6">
        <v>1125</v>
      </c>
      <c r="M45" s="6">
        <v>876</v>
      </c>
      <c r="N45" s="6">
        <v>2</v>
      </c>
      <c r="O45" s="6">
        <v>-136</v>
      </c>
    </row>
    <row r="46" spans="1:15" ht="15.75" customHeight="1" x14ac:dyDescent="0.3">
      <c r="A46" s="1" t="s">
        <v>148</v>
      </c>
      <c r="B46" s="1" t="s">
        <v>149</v>
      </c>
      <c r="C46" s="1" t="s">
        <v>150</v>
      </c>
      <c r="D46" s="1" t="s">
        <v>105</v>
      </c>
      <c r="E46" s="1" t="s">
        <v>25</v>
      </c>
      <c r="F46" s="4">
        <v>726</v>
      </c>
      <c r="G46" s="1" t="s">
        <v>26</v>
      </c>
      <c r="H46" s="5">
        <v>45176</v>
      </c>
      <c r="I46" s="6">
        <v>915</v>
      </c>
      <c r="J46" s="6">
        <v>1115</v>
      </c>
      <c r="K46" s="6">
        <v>0</v>
      </c>
      <c r="L46" s="6">
        <v>1115</v>
      </c>
      <c r="M46" s="6">
        <v>875</v>
      </c>
      <c r="N46" s="6">
        <v>0</v>
      </c>
      <c r="O46" s="6">
        <v>0</v>
      </c>
    </row>
    <row r="47" spans="1:15" ht="15.75" customHeight="1" x14ac:dyDescent="0.3">
      <c r="A47" s="1" t="s">
        <v>151</v>
      </c>
      <c r="B47" s="1" t="s">
        <v>152</v>
      </c>
      <c r="C47" s="1" t="s">
        <v>153</v>
      </c>
      <c r="D47" s="1" t="s">
        <v>53</v>
      </c>
      <c r="E47" s="1" t="s">
        <v>49</v>
      </c>
      <c r="F47" s="4">
        <v>376</v>
      </c>
      <c r="G47" s="1" t="s">
        <v>26</v>
      </c>
      <c r="H47" s="5">
        <v>45601</v>
      </c>
      <c r="I47" s="6">
        <v>565</v>
      </c>
      <c r="J47" s="6">
        <v>737</v>
      </c>
      <c r="K47" s="6">
        <v>0</v>
      </c>
      <c r="L47" s="6">
        <v>737</v>
      </c>
      <c r="M47" s="6">
        <v>915</v>
      </c>
      <c r="N47" s="6">
        <v>0</v>
      </c>
      <c r="O47" s="6">
        <v>0</v>
      </c>
    </row>
    <row r="48" spans="1:15" ht="15.75" customHeight="1" x14ac:dyDescent="0.3">
      <c r="A48" s="1" t="s">
        <v>78</v>
      </c>
      <c r="B48" s="1" t="s">
        <v>154</v>
      </c>
      <c r="C48" s="1" t="s">
        <v>155</v>
      </c>
      <c r="D48" s="1" t="s">
        <v>41</v>
      </c>
      <c r="E48" s="1" t="s">
        <v>30</v>
      </c>
      <c r="F48" s="4">
        <v>803</v>
      </c>
      <c r="G48" s="1" t="s">
        <v>26</v>
      </c>
      <c r="H48" s="5">
        <v>45562</v>
      </c>
      <c r="I48" s="6">
        <v>975</v>
      </c>
      <c r="J48" s="6">
        <v>1216</v>
      </c>
      <c r="K48" s="6">
        <v>0</v>
      </c>
      <c r="L48" s="6">
        <v>1216</v>
      </c>
      <c r="M48" s="6">
        <v>975</v>
      </c>
      <c r="N48" s="6">
        <v>0</v>
      </c>
      <c r="O48" s="6">
        <v>1132</v>
      </c>
    </row>
    <row r="49" spans="1:15" ht="15.75" customHeight="1" x14ac:dyDescent="0.3">
      <c r="A49" s="1" t="s">
        <v>81</v>
      </c>
      <c r="B49" s="1" t="s">
        <v>156</v>
      </c>
      <c r="C49" s="1" t="s">
        <v>117</v>
      </c>
      <c r="D49" s="1" t="s">
        <v>34</v>
      </c>
      <c r="E49" s="1" t="s">
        <v>30</v>
      </c>
      <c r="F49" s="4">
        <v>734</v>
      </c>
      <c r="G49" s="1" t="s">
        <v>26</v>
      </c>
      <c r="H49" s="5">
        <v>45656</v>
      </c>
      <c r="I49" s="6">
        <v>925</v>
      </c>
      <c r="J49" s="6">
        <v>1188</v>
      </c>
      <c r="K49" s="6">
        <v>0</v>
      </c>
      <c r="L49" s="6">
        <v>1188</v>
      </c>
      <c r="M49" s="6">
        <v>1302.5</v>
      </c>
      <c r="N49" s="6">
        <v>0</v>
      </c>
      <c r="O49" s="6">
        <v>0</v>
      </c>
    </row>
    <row r="50" spans="1:15" ht="15.75" customHeight="1" x14ac:dyDescent="0.3">
      <c r="A50" s="1" t="s">
        <v>84</v>
      </c>
      <c r="B50" s="1" t="s">
        <v>157</v>
      </c>
      <c r="C50" s="1" t="s">
        <v>158</v>
      </c>
      <c r="D50" s="1" t="s">
        <v>112</v>
      </c>
      <c r="E50" s="1" t="s">
        <v>30</v>
      </c>
      <c r="F50" s="4">
        <v>746</v>
      </c>
      <c r="G50" s="1" t="s">
        <v>26</v>
      </c>
      <c r="H50" s="5">
        <v>44317</v>
      </c>
      <c r="I50" s="6">
        <v>1015</v>
      </c>
      <c r="J50" s="6">
        <v>1254</v>
      </c>
      <c r="K50" s="6">
        <v>0</v>
      </c>
      <c r="L50" s="6">
        <v>1254</v>
      </c>
      <c r="M50" s="6">
        <v>775</v>
      </c>
      <c r="N50" s="6">
        <v>65</v>
      </c>
      <c r="O50" s="6">
        <v>0</v>
      </c>
    </row>
    <row r="51" spans="1:15" ht="15.75" customHeight="1" x14ac:dyDescent="0.3">
      <c r="A51" s="1" t="s">
        <v>88</v>
      </c>
      <c r="B51" s="1" t="s">
        <v>159</v>
      </c>
      <c r="C51" s="1" t="s">
        <v>160</v>
      </c>
      <c r="D51" s="1" t="s">
        <v>53</v>
      </c>
      <c r="E51" s="1" t="s">
        <v>25</v>
      </c>
      <c r="F51" s="4">
        <v>598</v>
      </c>
      <c r="G51" s="1" t="s">
        <v>26</v>
      </c>
      <c r="H51" s="5">
        <v>44524</v>
      </c>
      <c r="I51" s="6">
        <v>855</v>
      </c>
      <c r="J51" s="6">
        <v>1045</v>
      </c>
      <c r="K51" s="6">
        <v>0</v>
      </c>
      <c r="L51" s="6">
        <v>1045</v>
      </c>
      <c r="M51" s="6">
        <v>615</v>
      </c>
      <c r="N51" s="6">
        <v>0</v>
      </c>
      <c r="O51" s="6">
        <v>0</v>
      </c>
    </row>
    <row r="52" spans="1:15" ht="15.75" customHeight="1" x14ac:dyDescent="0.3">
      <c r="A52" s="1" t="s">
        <v>92</v>
      </c>
      <c r="B52" s="1" t="s">
        <v>161</v>
      </c>
      <c r="C52" s="1" t="s">
        <v>162</v>
      </c>
      <c r="D52" s="1" t="s">
        <v>73</v>
      </c>
      <c r="E52" s="1" t="s">
        <v>49</v>
      </c>
      <c r="F52" s="4">
        <v>427</v>
      </c>
      <c r="G52" s="1" t="s">
        <v>26</v>
      </c>
      <c r="H52" s="5">
        <v>44736</v>
      </c>
      <c r="I52" s="6">
        <v>680</v>
      </c>
      <c r="J52" s="6">
        <v>847</v>
      </c>
      <c r="K52" s="6">
        <v>0</v>
      </c>
      <c r="L52" s="6">
        <v>847</v>
      </c>
      <c r="M52" s="6">
        <v>675</v>
      </c>
      <c r="N52" s="6">
        <v>0</v>
      </c>
      <c r="O52" s="6">
        <v>847</v>
      </c>
    </row>
    <row r="53" spans="1:15" ht="15.75" customHeight="1" x14ac:dyDescent="0.3">
      <c r="A53" s="1" t="s">
        <v>95</v>
      </c>
      <c r="B53" s="1" t="s">
        <v>163</v>
      </c>
      <c r="C53" s="1" t="s">
        <v>164</v>
      </c>
      <c r="D53" s="1" t="s">
        <v>165</v>
      </c>
      <c r="E53" s="1" t="s">
        <v>30</v>
      </c>
      <c r="F53" s="4">
        <v>734</v>
      </c>
      <c r="G53" s="1" t="s">
        <v>26</v>
      </c>
      <c r="H53" s="5">
        <v>45748</v>
      </c>
      <c r="I53" s="6">
        <v>925</v>
      </c>
      <c r="J53" s="6">
        <v>1188</v>
      </c>
      <c r="K53" s="6">
        <v>0</v>
      </c>
      <c r="L53" s="6">
        <v>1188</v>
      </c>
      <c r="M53" s="6">
        <v>1387.5</v>
      </c>
      <c r="N53" s="6">
        <v>0</v>
      </c>
      <c r="O53" s="6">
        <v>0</v>
      </c>
    </row>
    <row r="54" spans="1:15" ht="15.75" customHeight="1" x14ac:dyDescent="0.3">
      <c r="A54" s="1" t="s">
        <v>98</v>
      </c>
      <c r="B54" s="1" t="s">
        <v>166</v>
      </c>
      <c r="C54" s="1" t="s">
        <v>167</v>
      </c>
      <c r="D54" s="1" t="s">
        <v>73</v>
      </c>
      <c r="E54" s="1" t="s">
        <v>30</v>
      </c>
      <c r="F54" s="4">
        <v>734</v>
      </c>
      <c r="G54" s="1" t="s">
        <v>26</v>
      </c>
      <c r="H54" s="5">
        <v>45108</v>
      </c>
      <c r="I54" s="6">
        <v>1010</v>
      </c>
      <c r="J54" s="6">
        <v>1249</v>
      </c>
      <c r="K54" s="6">
        <v>0</v>
      </c>
      <c r="L54" s="6">
        <v>1249</v>
      </c>
      <c r="M54" s="6">
        <v>830</v>
      </c>
      <c r="N54" s="6">
        <v>0</v>
      </c>
      <c r="O54" s="6">
        <v>0</v>
      </c>
    </row>
    <row r="55" spans="1:15" ht="15.75" customHeight="1" x14ac:dyDescent="0.3">
      <c r="A55" s="1" t="s">
        <v>102</v>
      </c>
      <c r="B55" s="1" t="s">
        <v>168</v>
      </c>
      <c r="C55" s="1" t="s">
        <v>169</v>
      </c>
      <c r="D55" s="1" t="s">
        <v>73</v>
      </c>
      <c r="E55" s="1" t="s">
        <v>30</v>
      </c>
      <c r="F55" s="4">
        <v>740</v>
      </c>
      <c r="G55" s="1" t="s">
        <v>26</v>
      </c>
      <c r="H55" s="5">
        <v>45471</v>
      </c>
      <c r="I55" s="6">
        <v>975</v>
      </c>
      <c r="J55" s="6">
        <v>1214</v>
      </c>
      <c r="K55" s="6">
        <v>0</v>
      </c>
      <c r="L55" s="6">
        <v>1214</v>
      </c>
      <c r="M55" s="6">
        <v>975</v>
      </c>
      <c r="N55" s="6">
        <v>2348</v>
      </c>
      <c r="O55" s="6">
        <v>0</v>
      </c>
    </row>
    <row r="56" spans="1:15" ht="15.75" customHeight="1" x14ac:dyDescent="0.3">
      <c r="A56" s="1" t="s">
        <v>106</v>
      </c>
      <c r="B56" s="1" t="s">
        <v>170</v>
      </c>
      <c r="C56" s="1" t="s">
        <v>108</v>
      </c>
      <c r="D56" s="1" t="s">
        <v>73</v>
      </c>
      <c r="E56" s="1" t="s">
        <v>30</v>
      </c>
      <c r="F56" s="4">
        <v>814</v>
      </c>
      <c r="G56" s="1" t="s">
        <v>26</v>
      </c>
      <c r="H56" s="5">
        <v>45474</v>
      </c>
      <c r="I56" s="6">
        <v>975</v>
      </c>
      <c r="J56" s="6">
        <v>1214</v>
      </c>
      <c r="K56" s="6">
        <v>0</v>
      </c>
      <c r="L56" s="6">
        <v>1214</v>
      </c>
      <c r="M56" s="6">
        <v>975</v>
      </c>
      <c r="N56" s="6">
        <v>0</v>
      </c>
      <c r="O56" s="6">
        <v>0</v>
      </c>
    </row>
    <row r="57" spans="1:15" ht="15.75" customHeight="1" x14ac:dyDescent="0.3">
      <c r="A57" s="1" t="s">
        <v>109</v>
      </c>
      <c r="B57" s="1" t="s">
        <v>171</v>
      </c>
      <c r="C57" s="1" t="s">
        <v>172</v>
      </c>
      <c r="D57" s="1" t="s">
        <v>173</v>
      </c>
      <c r="E57" s="1" t="s">
        <v>30</v>
      </c>
      <c r="F57" s="4">
        <v>844</v>
      </c>
      <c r="G57" s="1" t="s">
        <v>26</v>
      </c>
      <c r="H57" s="5">
        <v>45476</v>
      </c>
      <c r="I57" s="6">
        <v>1005</v>
      </c>
      <c r="J57" s="6">
        <v>1227</v>
      </c>
      <c r="K57" s="6">
        <v>0</v>
      </c>
      <c r="L57" s="6">
        <v>1227</v>
      </c>
      <c r="M57" s="6">
        <v>1005</v>
      </c>
      <c r="N57" s="6">
        <v>0</v>
      </c>
      <c r="O57" s="6">
        <v>0</v>
      </c>
    </row>
    <row r="58" spans="1:15" ht="15.75" customHeight="1" x14ac:dyDescent="0.3">
      <c r="A58" s="1" t="s">
        <v>174</v>
      </c>
      <c r="B58" s="1" t="s">
        <v>175</v>
      </c>
      <c r="C58" s="1" t="s">
        <v>176</v>
      </c>
      <c r="D58" s="1" t="s">
        <v>87</v>
      </c>
      <c r="E58" s="1" t="s">
        <v>25</v>
      </c>
      <c r="F58" s="4">
        <v>726</v>
      </c>
      <c r="G58" s="1" t="s">
        <v>26</v>
      </c>
      <c r="H58" s="5">
        <v>45170</v>
      </c>
      <c r="I58" s="6">
        <v>850</v>
      </c>
      <c r="J58" s="6">
        <v>1027</v>
      </c>
      <c r="K58" s="6">
        <v>0</v>
      </c>
      <c r="L58" s="6">
        <v>1027</v>
      </c>
      <c r="M58" s="6">
        <v>1649</v>
      </c>
      <c r="N58" s="6">
        <v>0</v>
      </c>
      <c r="O58" s="6">
        <v>12</v>
      </c>
    </row>
    <row r="59" spans="1:15" ht="15.75" customHeight="1" x14ac:dyDescent="0.3">
      <c r="A59" s="1" t="s">
        <v>177</v>
      </c>
      <c r="B59" s="1" t="s">
        <v>178</v>
      </c>
      <c r="C59" s="1" t="s">
        <v>68</v>
      </c>
      <c r="D59" s="1" t="s">
        <v>48</v>
      </c>
      <c r="E59" s="1" t="s">
        <v>25</v>
      </c>
      <c r="F59" s="4">
        <v>726</v>
      </c>
      <c r="G59" s="1" t="s">
        <v>26</v>
      </c>
      <c r="H59" s="5">
        <v>45505</v>
      </c>
      <c r="I59" s="6">
        <v>825</v>
      </c>
      <c r="J59" s="6">
        <v>1028</v>
      </c>
      <c r="K59" s="6">
        <v>0</v>
      </c>
      <c r="L59" s="6">
        <v>1028</v>
      </c>
      <c r="M59" s="6">
        <v>1237</v>
      </c>
      <c r="N59" s="6">
        <v>0</v>
      </c>
      <c r="O59" s="6">
        <v>0</v>
      </c>
    </row>
    <row r="60" spans="1:15" ht="15.75" customHeight="1" x14ac:dyDescent="0.3">
      <c r="A60" s="1" t="s">
        <v>179</v>
      </c>
      <c r="B60" s="1" t="s">
        <v>180</v>
      </c>
      <c r="C60" s="1" t="s">
        <v>181</v>
      </c>
      <c r="D60" s="1" t="s">
        <v>123</v>
      </c>
      <c r="E60" s="1" t="s">
        <v>49</v>
      </c>
      <c r="F60" s="4">
        <v>576</v>
      </c>
      <c r="G60" s="1" t="s">
        <v>26</v>
      </c>
      <c r="H60" s="5">
        <v>45708</v>
      </c>
      <c r="I60" s="6">
        <v>675</v>
      </c>
      <c r="J60" s="6">
        <v>823</v>
      </c>
      <c r="K60" s="6">
        <v>0</v>
      </c>
      <c r="L60" s="6">
        <v>823</v>
      </c>
      <c r="M60" s="6">
        <v>675</v>
      </c>
      <c r="N60" s="6">
        <v>0</v>
      </c>
      <c r="O60" s="6">
        <v>823</v>
      </c>
    </row>
    <row r="61" spans="1:15" ht="15.75" customHeight="1" x14ac:dyDescent="0.3">
      <c r="A61" s="19" t="s">
        <v>182</v>
      </c>
      <c r="B61" s="17"/>
      <c r="C61" s="17"/>
      <c r="D61" s="17"/>
      <c r="E61" s="17"/>
      <c r="F61" s="17"/>
      <c r="G61" s="17"/>
      <c r="H61" s="17"/>
      <c r="I61" s="7">
        <v>22315</v>
      </c>
      <c r="J61" s="7">
        <v>27685</v>
      </c>
      <c r="K61" s="7">
        <v>0</v>
      </c>
      <c r="L61" s="7">
        <v>27685</v>
      </c>
      <c r="M61" s="7">
        <v>23927</v>
      </c>
      <c r="N61" s="7">
        <v>2415</v>
      </c>
      <c r="O61" s="7">
        <v>5211</v>
      </c>
    </row>
    <row r="62" spans="1:15" ht="15.75" customHeight="1" x14ac:dyDescent="0.3"/>
    <row r="63" spans="1:15" ht="15.75" customHeight="1" x14ac:dyDescent="0.3"/>
    <row r="64" spans="1:15" ht="19.5" customHeight="1" x14ac:dyDescent="0.35">
      <c r="A64" s="18" t="s">
        <v>183</v>
      </c>
      <c r="B64" s="17"/>
      <c r="C64" s="17"/>
      <c r="D64" s="17"/>
      <c r="E64" s="17"/>
    </row>
    <row r="65" spans="1:10" ht="15.75" customHeight="1" x14ac:dyDescent="0.3">
      <c r="A65" s="3" t="s">
        <v>4</v>
      </c>
      <c r="B65" s="3" t="s">
        <v>184</v>
      </c>
    </row>
    <row r="66" spans="1:10" ht="15.75" customHeight="1" x14ac:dyDescent="0.3">
      <c r="A66" s="1" t="s">
        <v>185</v>
      </c>
      <c r="B66" s="6">
        <v>49180</v>
      </c>
    </row>
    <row r="67" spans="1:10" ht="15.75" customHeight="1" x14ac:dyDescent="0.3">
      <c r="A67" s="1" t="s">
        <v>14</v>
      </c>
      <c r="B67" s="6">
        <v>46272</v>
      </c>
    </row>
    <row r="68" spans="1:10" ht="15.75" customHeight="1" x14ac:dyDescent="0.3">
      <c r="A68" s="1" t="s">
        <v>186</v>
      </c>
      <c r="B68" s="6">
        <v>55123</v>
      </c>
    </row>
    <row r="69" spans="1:10" ht="15.75" customHeight="1" x14ac:dyDescent="0.3">
      <c r="A69" s="1" t="s">
        <v>187</v>
      </c>
      <c r="B69" s="6">
        <v>0</v>
      </c>
    </row>
    <row r="70" spans="1:10" ht="15.75" customHeight="1" x14ac:dyDescent="0.3">
      <c r="A70" s="1" t="s">
        <v>188</v>
      </c>
      <c r="B70" s="6">
        <v>48579</v>
      </c>
    </row>
    <row r="71" spans="1:10" ht="15.75" customHeight="1" x14ac:dyDescent="0.3">
      <c r="A71" s="1" t="s">
        <v>189</v>
      </c>
      <c r="B71" s="6">
        <v>18205.080000000002</v>
      </c>
    </row>
    <row r="72" spans="1:10" ht="15.75" customHeight="1" x14ac:dyDescent="0.3"/>
    <row r="73" spans="1:10" ht="15.75" customHeight="1" x14ac:dyDescent="0.3"/>
    <row r="74" spans="1:10" ht="19.5" customHeight="1" x14ac:dyDescent="0.35">
      <c r="A74" s="18" t="s">
        <v>190</v>
      </c>
      <c r="B74" s="17"/>
      <c r="C74" s="17"/>
      <c r="D74" s="17"/>
      <c r="E74" s="17"/>
    </row>
    <row r="75" spans="1:10" ht="15.75" customHeight="1" x14ac:dyDescent="0.3">
      <c r="A75" s="19" t="s">
        <v>190</v>
      </c>
      <c r="B75" s="17"/>
      <c r="C75" s="19" t="s">
        <v>191</v>
      </c>
      <c r="D75" s="17"/>
      <c r="E75" s="17"/>
      <c r="F75" s="19" t="s">
        <v>192</v>
      </c>
      <c r="G75" s="17"/>
      <c r="H75" s="19" t="s">
        <v>193</v>
      </c>
      <c r="I75" s="17"/>
      <c r="J75" s="17"/>
    </row>
    <row r="76" spans="1:10" ht="15.75" customHeight="1" x14ac:dyDescent="0.3">
      <c r="A76" s="3" t="s">
        <v>10</v>
      </c>
      <c r="B76" s="3" t="s">
        <v>194</v>
      </c>
      <c r="C76" s="3" t="s">
        <v>195</v>
      </c>
      <c r="D76" s="3" t="s">
        <v>196</v>
      </c>
      <c r="E76" s="3" t="s">
        <v>197</v>
      </c>
      <c r="F76" s="3" t="s">
        <v>17</v>
      </c>
      <c r="G76" s="3" t="s">
        <v>198</v>
      </c>
      <c r="H76" s="3" t="s">
        <v>17</v>
      </c>
      <c r="I76" s="3" t="s">
        <v>198</v>
      </c>
      <c r="J76" s="3" t="s">
        <v>199</v>
      </c>
    </row>
    <row r="77" spans="1:10" ht="15.75" customHeight="1" x14ac:dyDescent="0.3">
      <c r="A77" s="1" t="s">
        <v>25</v>
      </c>
      <c r="B77" s="4">
        <v>14</v>
      </c>
      <c r="C77" s="4">
        <v>1</v>
      </c>
      <c r="D77" s="4">
        <v>13</v>
      </c>
      <c r="E77" s="1" t="s">
        <v>200</v>
      </c>
      <c r="F77" s="4">
        <v>8992</v>
      </c>
      <c r="G77" s="4">
        <v>642.28571428571399</v>
      </c>
      <c r="H77" s="6">
        <v>12095</v>
      </c>
      <c r="I77" s="6">
        <v>863.92857142857133</v>
      </c>
      <c r="J77" s="6">
        <v>1.3450845195729544</v>
      </c>
    </row>
    <row r="78" spans="1:10" ht="15.75" customHeight="1" x14ac:dyDescent="0.3">
      <c r="A78" s="1" t="s">
        <v>30</v>
      </c>
      <c r="B78" s="4">
        <v>28</v>
      </c>
      <c r="C78" s="4">
        <v>1</v>
      </c>
      <c r="D78" s="4">
        <v>27</v>
      </c>
      <c r="E78" s="1" t="s">
        <v>201</v>
      </c>
      <c r="F78" s="4">
        <v>21066</v>
      </c>
      <c r="G78" s="4">
        <v>752.357142857143</v>
      </c>
      <c r="H78" s="6">
        <v>28110</v>
      </c>
      <c r="I78" s="6">
        <v>1003.9285714285713</v>
      </c>
      <c r="J78" s="6">
        <v>1.3343776701794359</v>
      </c>
    </row>
    <row r="79" spans="1:10" ht="15.75" customHeight="1" x14ac:dyDescent="0.3">
      <c r="A79" s="1" t="s">
        <v>49</v>
      </c>
      <c r="B79" s="4">
        <v>6</v>
      </c>
      <c r="C79" s="4">
        <v>0</v>
      </c>
      <c r="D79" s="4">
        <v>6</v>
      </c>
      <c r="E79" s="1" t="s">
        <v>202</v>
      </c>
      <c r="F79" s="4">
        <v>2343</v>
      </c>
      <c r="G79" s="4">
        <v>390.5</v>
      </c>
      <c r="H79" s="6">
        <v>4100</v>
      </c>
      <c r="I79" s="6">
        <v>683.33333333333326</v>
      </c>
      <c r="J79" s="6">
        <v>1.7498932991890739</v>
      </c>
    </row>
    <row r="80" spans="1:10" ht="15.75" customHeight="1" x14ac:dyDescent="0.3">
      <c r="A80" s="1" t="s">
        <v>69</v>
      </c>
      <c r="B80" s="4">
        <v>3</v>
      </c>
      <c r="C80" s="4">
        <v>0</v>
      </c>
      <c r="D80" s="4">
        <v>3</v>
      </c>
      <c r="E80" s="1" t="s">
        <v>202</v>
      </c>
      <c r="F80" s="4">
        <v>3350</v>
      </c>
      <c r="G80" s="4">
        <v>1116.6666666666699</v>
      </c>
      <c r="H80" s="6">
        <v>3625</v>
      </c>
      <c r="I80" s="6">
        <v>1208.333333333333</v>
      </c>
      <c r="J80" s="6">
        <v>1.0820895522388028</v>
      </c>
    </row>
    <row r="81" spans="1:10" ht="15.75" customHeight="1" x14ac:dyDescent="0.3">
      <c r="A81" s="1" t="s">
        <v>74</v>
      </c>
      <c r="B81" s="4">
        <v>1</v>
      </c>
      <c r="C81" s="4">
        <v>0</v>
      </c>
      <c r="D81" s="4">
        <v>1</v>
      </c>
      <c r="E81" s="1" t="s">
        <v>202</v>
      </c>
      <c r="F81" s="4">
        <v>1100</v>
      </c>
      <c r="G81" s="4">
        <v>1100</v>
      </c>
      <c r="H81" s="6">
        <v>1250</v>
      </c>
      <c r="I81" s="6">
        <v>1250</v>
      </c>
      <c r="J81" s="6">
        <v>1.1363636363636365</v>
      </c>
    </row>
    <row r="82" spans="1:10" ht="15.75" customHeight="1" x14ac:dyDescent="0.3">
      <c r="A82" s="3" t="s">
        <v>203</v>
      </c>
      <c r="B82" s="8">
        <v>52</v>
      </c>
      <c r="C82" s="8">
        <v>2</v>
      </c>
      <c r="D82" s="8">
        <v>50</v>
      </c>
      <c r="E82" s="3" t="s">
        <v>204</v>
      </c>
      <c r="F82" s="8">
        <v>36851</v>
      </c>
      <c r="G82" s="8">
        <v>708.67307692307702</v>
      </c>
      <c r="H82" s="7">
        <v>49180</v>
      </c>
      <c r="I82" s="7">
        <v>945.76923076923072</v>
      </c>
      <c r="J82" s="7">
        <v>1.334563512523405</v>
      </c>
    </row>
    <row r="83" spans="1:10" ht="15.75" customHeight="1" x14ac:dyDescent="0.3"/>
    <row r="84" spans="1:10" ht="15.75" customHeight="1" x14ac:dyDescent="0.3"/>
    <row r="85" spans="1:10" ht="19.5" customHeight="1" x14ac:dyDescent="0.35">
      <c r="A85" s="18" t="s">
        <v>205</v>
      </c>
      <c r="B85" s="17"/>
      <c r="C85" s="17"/>
      <c r="D85" s="17"/>
      <c r="E85" s="17"/>
    </row>
    <row r="86" spans="1:10" ht="15.75" customHeight="1" x14ac:dyDescent="0.3">
      <c r="A86" s="19" t="s">
        <v>205</v>
      </c>
      <c r="B86" s="17"/>
      <c r="C86" s="19" t="s">
        <v>191</v>
      </c>
      <c r="D86" s="17"/>
      <c r="E86" s="17"/>
      <c r="F86" s="19" t="s">
        <v>192</v>
      </c>
      <c r="G86" s="17"/>
      <c r="H86" s="19" t="s">
        <v>193</v>
      </c>
      <c r="I86" s="17"/>
      <c r="J86" s="17"/>
    </row>
    <row r="87" spans="1:10" ht="15.75" customHeight="1" x14ac:dyDescent="0.3">
      <c r="A87" s="3" t="s">
        <v>206</v>
      </c>
      <c r="B87" s="3" t="s">
        <v>194</v>
      </c>
      <c r="C87" s="3" t="s">
        <v>195</v>
      </c>
      <c r="D87" s="3" t="s">
        <v>196</v>
      </c>
      <c r="E87" s="3" t="s">
        <v>197</v>
      </c>
      <c r="F87" s="3" t="s">
        <v>17</v>
      </c>
      <c r="G87" s="3" t="s">
        <v>198</v>
      </c>
      <c r="H87" s="3" t="s">
        <v>17</v>
      </c>
      <c r="I87" s="3" t="s">
        <v>198</v>
      </c>
      <c r="J87" s="3" t="s">
        <v>199</v>
      </c>
    </row>
    <row r="88" spans="1:10" ht="15.75" customHeight="1" x14ac:dyDescent="0.3">
      <c r="A88" s="1" t="s">
        <v>3</v>
      </c>
      <c r="B88" s="4">
        <v>25</v>
      </c>
      <c r="C88" s="4">
        <v>0</v>
      </c>
      <c r="D88" s="4">
        <v>25</v>
      </c>
      <c r="E88" s="1" t="s">
        <v>202</v>
      </c>
      <c r="F88" s="4">
        <v>18333</v>
      </c>
      <c r="G88" s="4">
        <v>733.32</v>
      </c>
      <c r="H88" s="6">
        <v>23785</v>
      </c>
      <c r="I88" s="6">
        <v>951.4</v>
      </c>
      <c r="J88" s="6">
        <v>1.2973872252222767</v>
      </c>
    </row>
    <row r="89" spans="1:10" ht="15.75" customHeight="1" x14ac:dyDescent="0.3">
      <c r="A89" s="1" t="s">
        <v>114</v>
      </c>
      <c r="B89" s="4">
        <v>27</v>
      </c>
      <c r="C89" s="4">
        <v>2</v>
      </c>
      <c r="D89" s="4">
        <v>25</v>
      </c>
      <c r="E89" s="1" t="s">
        <v>207</v>
      </c>
      <c r="F89" s="4">
        <v>18518</v>
      </c>
      <c r="G89" s="4">
        <v>685.85185185185196</v>
      </c>
      <c r="H89" s="6">
        <v>25395</v>
      </c>
      <c r="I89" s="6">
        <v>940.55555555555543</v>
      </c>
      <c r="J89" s="6">
        <v>1.3713683983151528</v>
      </c>
    </row>
    <row r="90" spans="1:10" ht="15.75" customHeight="1" x14ac:dyDescent="0.3">
      <c r="A90" s="3" t="s">
        <v>203</v>
      </c>
      <c r="B90" s="8">
        <v>52</v>
      </c>
      <c r="C90" s="8">
        <v>2</v>
      </c>
      <c r="D90" s="8">
        <v>50</v>
      </c>
      <c r="E90" s="3" t="s">
        <v>204</v>
      </c>
      <c r="F90" s="8">
        <v>36851</v>
      </c>
      <c r="G90" s="8">
        <v>708.67307692307702</v>
      </c>
      <c r="H90" s="7">
        <v>49180</v>
      </c>
      <c r="I90" s="7">
        <v>945.76923076923072</v>
      </c>
      <c r="J90" s="7">
        <v>1.334563512523405</v>
      </c>
    </row>
    <row r="91" spans="1:10" ht="15.75" customHeight="1" x14ac:dyDescent="0.3"/>
    <row r="92" spans="1:10" ht="15.75" customHeight="1" x14ac:dyDescent="0.3"/>
    <row r="93" spans="1:10" ht="15.75" customHeight="1" x14ac:dyDescent="0.3"/>
    <row r="94" spans="1:10" ht="15.75" customHeight="1" x14ac:dyDescent="0.3"/>
    <row r="95" spans="1:10" ht="15.75" customHeight="1" x14ac:dyDescent="0.3"/>
    <row r="96" spans="1:10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mergeCells count="24">
    <mergeCell ref="A61:H61"/>
    <mergeCell ref="A64:E64"/>
    <mergeCell ref="C86:E86"/>
    <mergeCell ref="F86:G86"/>
    <mergeCell ref="A74:E74"/>
    <mergeCell ref="A75:B75"/>
    <mergeCell ref="C75:E75"/>
    <mergeCell ref="F75:G75"/>
    <mergeCell ref="H75:J75"/>
    <mergeCell ref="A85:E85"/>
    <mergeCell ref="A86:B86"/>
    <mergeCell ref="H86:J86"/>
    <mergeCell ref="J6:L6"/>
    <mergeCell ref="M6:O6"/>
    <mergeCell ref="A6:I6"/>
    <mergeCell ref="A32:H32"/>
    <mergeCell ref="A33:I33"/>
    <mergeCell ref="J33:L33"/>
    <mergeCell ref="M33:O33"/>
    <mergeCell ref="B1:D1"/>
    <mergeCell ref="A3:E3"/>
    <mergeCell ref="A4:I4"/>
    <mergeCell ref="J4:L4"/>
    <mergeCell ref="M4:O4"/>
  </mergeCells>
  <pageMargins left="0.7" right="0.7" top="0.75" bottom="0.75" header="0" footer="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000"/>
  <sheetViews>
    <sheetView workbookViewId="0"/>
  </sheetViews>
  <sheetFormatPr defaultColWidth="14.44140625" defaultRowHeight="15" customHeight="1" x14ac:dyDescent="0.3"/>
  <cols>
    <col min="1" max="1" width="16" customWidth="1"/>
    <col min="2" max="4" width="34" customWidth="1"/>
    <col min="5" max="5" width="50" customWidth="1"/>
    <col min="6" max="7" width="8.6640625" customWidth="1"/>
    <col min="8" max="8" width="12" customWidth="1"/>
    <col min="9" max="9" width="10.109375" customWidth="1"/>
    <col min="10" max="10" width="10.6640625" customWidth="1"/>
    <col min="11" max="11" width="10.109375" customWidth="1"/>
    <col min="12" max="12" width="13.109375" customWidth="1"/>
    <col min="13" max="13" width="12.5546875" customWidth="1"/>
    <col min="14" max="26" width="8.6640625" customWidth="1"/>
  </cols>
  <sheetData>
    <row r="1" spans="1:14" ht="43.5" customHeight="1" x14ac:dyDescent="0.3">
      <c r="A1" s="1"/>
      <c r="B1" s="16" t="s">
        <v>208</v>
      </c>
      <c r="C1" s="17"/>
      <c r="D1" s="17"/>
      <c r="E1" s="2" t="s">
        <v>2</v>
      </c>
    </row>
    <row r="3" spans="1:14" ht="19.5" customHeight="1" x14ac:dyDescent="0.35">
      <c r="A3" s="18" t="s">
        <v>3</v>
      </c>
      <c r="B3" s="17"/>
      <c r="C3" s="17"/>
      <c r="D3" s="17"/>
      <c r="E3" s="17"/>
    </row>
    <row r="4" spans="1:14" ht="14.4" x14ac:dyDescent="0.3">
      <c r="A4" s="19" t="s">
        <v>4</v>
      </c>
      <c r="B4" s="17"/>
      <c r="C4" s="17"/>
      <c r="D4" s="17"/>
      <c r="E4" s="17"/>
      <c r="F4" s="17"/>
      <c r="G4" s="17"/>
      <c r="H4" s="17"/>
      <c r="I4" s="19" t="s">
        <v>5</v>
      </c>
      <c r="J4" s="17"/>
      <c r="K4" s="17"/>
      <c r="L4" s="19" t="s">
        <v>4</v>
      </c>
      <c r="M4" s="17"/>
      <c r="N4" s="17"/>
    </row>
    <row r="5" spans="1:14" ht="14.4" x14ac:dyDescent="0.3">
      <c r="A5" s="3" t="s">
        <v>6</v>
      </c>
      <c r="B5" s="3" t="s">
        <v>7</v>
      </c>
      <c r="C5" s="3" t="s">
        <v>8</v>
      </c>
      <c r="D5" s="3" t="s">
        <v>9</v>
      </c>
      <c r="E5" s="3" t="s">
        <v>10</v>
      </c>
      <c r="F5" s="3" t="s">
        <v>12</v>
      </c>
      <c r="G5" s="3" t="s">
        <v>13</v>
      </c>
      <c r="H5" s="3" t="s">
        <v>14</v>
      </c>
      <c r="I5" s="3" t="s">
        <v>15</v>
      </c>
      <c r="J5" s="3" t="s">
        <v>16</v>
      </c>
      <c r="K5" s="3" t="s">
        <v>17</v>
      </c>
      <c r="L5" s="3" t="s">
        <v>18</v>
      </c>
      <c r="M5" s="3" t="s">
        <v>19</v>
      </c>
      <c r="N5" s="3" t="s">
        <v>20</v>
      </c>
    </row>
    <row r="6" spans="1:14" ht="14.4" x14ac:dyDescent="0.3">
      <c r="A6" s="20" t="s">
        <v>3</v>
      </c>
      <c r="B6" s="17"/>
      <c r="C6" s="17"/>
      <c r="D6" s="17"/>
      <c r="E6" s="17"/>
      <c r="F6" s="17"/>
      <c r="G6" s="17"/>
      <c r="H6" s="17"/>
      <c r="I6" s="20" t="s">
        <v>4</v>
      </c>
      <c r="J6" s="17"/>
      <c r="K6" s="17"/>
      <c r="L6" s="20" t="s">
        <v>4</v>
      </c>
      <c r="M6" s="17"/>
      <c r="N6" s="17"/>
    </row>
    <row r="7" spans="1:14" ht="14.4" x14ac:dyDescent="0.3">
      <c r="A7" s="1" t="s">
        <v>21</v>
      </c>
      <c r="B7" s="1" t="s">
        <v>22</v>
      </c>
      <c r="C7" s="1" t="s">
        <v>23</v>
      </c>
      <c r="D7" s="1" t="s">
        <v>24</v>
      </c>
      <c r="E7" s="1" t="s">
        <v>25</v>
      </c>
      <c r="F7" s="1" t="s">
        <v>26</v>
      </c>
      <c r="G7" s="5">
        <v>45413</v>
      </c>
      <c r="H7" s="6">
        <v>650</v>
      </c>
      <c r="I7" s="6">
        <v>803</v>
      </c>
      <c r="J7" s="6">
        <v>0</v>
      </c>
      <c r="K7" s="6">
        <v>803</v>
      </c>
      <c r="L7" s="6">
        <v>650</v>
      </c>
      <c r="M7" s="6">
        <v>803</v>
      </c>
      <c r="N7" s="6">
        <v>0</v>
      </c>
    </row>
    <row r="8" spans="1:14" ht="14.4" x14ac:dyDescent="0.3">
      <c r="A8" s="1" t="s">
        <v>27</v>
      </c>
      <c r="B8" s="1" t="s">
        <v>28</v>
      </c>
      <c r="C8" s="1" t="s">
        <v>29</v>
      </c>
      <c r="D8" s="1" t="s">
        <v>24</v>
      </c>
      <c r="E8" s="1" t="s">
        <v>30</v>
      </c>
      <c r="F8" s="1" t="s">
        <v>26</v>
      </c>
      <c r="G8" s="5">
        <v>45394</v>
      </c>
      <c r="H8" s="6">
        <v>700</v>
      </c>
      <c r="I8" s="6">
        <v>865</v>
      </c>
      <c r="J8" s="6">
        <v>0</v>
      </c>
      <c r="K8" s="6">
        <v>865</v>
      </c>
      <c r="L8" s="6">
        <v>700</v>
      </c>
      <c r="M8" s="6">
        <v>865</v>
      </c>
      <c r="N8" s="6">
        <v>0</v>
      </c>
    </row>
    <row r="9" spans="1:14" ht="14.4" x14ac:dyDescent="0.3">
      <c r="A9" s="1" t="s">
        <v>31</v>
      </c>
      <c r="B9" s="1" t="s">
        <v>32</v>
      </c>
      <c r="C9" s="1" t="s">
        <v>33</v>
      </c>
      <c r="D9" s="1" t="s">
        <v>34</v>
      </c>
      <c r="E9" s="1" t="s">
        <v>25</v>
      </c>
      <c r="F9" s="1" t="s">
        <v>26</v>
      </c>
      <c r="G9" s="5">
        <v>43586</v>
      </c>
      <c r="H9" s="6">
        <v>1054</v>
      </c>
      <c r="I9" s="6">
        <v>1069</v>
      </c>
      <c r="J9" s="6">
        <v>0</v>
      </c>
      <c r="K9" s="6">
        <v>1069</v>
      </c>
      <c r="L9" s="6">
        <v>917.5</v>
      </c>
      <c r="M9" s="6">
        <v>0</v>
      </c>
      <c r="N9" s="6">
        <v>0</v>
      </c>
    </row>
    <row r="10" spans="1:14" ht="14.4" x14ac:dyDescent="0.3">
      <c r="A10" s="1" t="s">
        <v>35</v>
      </c>
      <c r="B10" s="1" t="s">
        <v>36</v>
      </c>
      <c r="C10" s="1" t="s">
        <v>37</v>
      </c>
      <c r="D10" s="1" t="s">
        <v>34</v>
      </c>
      <c r="E10" s="1" t="s">
        <v>25</v>
      </c>
      <c r="F10" s="1" t="s">
        <v>26</v>
      </c>
      <c r="G10" s="5">
        <v>45288</v>
      </c>
      <c r="H10" s="6">
        <v>925</v>
      </c>
      <c r="I10" s="6">
        <v>1077</v>
      </c>
      <c r="J10" s="6">
        <v>0</v>
      </c>
      <c r="K10" s="6">
        <v>1077</v>
      </c>
      <c r="L10" s="6">
        <v>880</v>
      </c>
      <c r="M10" s="6">
        <v>516</v>
      </c>
      <c r="N10" s="6">
        <v>0</v>
      </c>
    </row>
    <row r="11" spans="1:14" ht="14.4" x14ac:dyDescent="0.3">
      <c r="A11" s="1" t="s">
        <v>38</v>
      </c>
      <c r="B11" s="1" t="s">
        <v>39</v>
      </c>
      <c r="C11" s="1" t="s">
        <v>40</v>
      </c>
      <c r="D11" s="1" t="s">
        <v>41</v>
      </c>
      <c r="E11" s="1" t="s">
        <v>30</v>
      </c>
      <c r="F11" s="1" t="s">
        <v>26</v>
      </c>
      <c r="G11" s="5">
        <v>43739</v>
      </c>
      <c r="H11" s="6">
        <v>1236</v>
      </c>
      <c r="I11" s="6">
        <v>1236</v>
      </c>
      <c r="J11" s="6">
        <v>0</v>
      </c>
      <c r="K11" s="6">
        <v>1236</v>
      </c>
      <c r="L11" s="6">
        <v>795</v>
      </c>
      <c r="M11" s="6">
        <v>0</v>
      </c>
      <c r="N11" s="6">
        <v>0</v>
      </c>
    </row>
    <row r="12" spans="1:14" ht="14.4" x14ac:dyDescent="0.3">
      <c r="A12" s="1" t="s">
        <v>42</v>
      </c>
      <c r="B12" s="1" t="s">
        <v>43</v>
      </c>
      <c r="C12" s="1" t="s">
        <v>44</v>
      </c>
      <c r="D12" s="1" t="s">
        <v>34</v>
      </c>
      <c r="E12" s="1" t="s">
        <v>30</v>
      </c>
      <c r="F12" s="1" t="s">
        <v>26</v>
      </c>
      <c r="G12" s="5">
        <v>44176</v>
      </c>
      <c r="H12" s="6">
        <v>1025</v>
      </c>
      <c r="I12" s="6">
        <v>1250</v>
      </c>
      <c r="J12" s="6">
        <v>0</v>
      </c>
      <c r="K12" s="6">
        <v>1250</v>
      </c>
      <c r="L12" s="6">
        <v>1450</v>
      </c>
      <c r="M12" s="6">
        <v>0</v>
      </c>
      <c r="N12" s="6">
        <v>0</v>
      </c>
    </row>
    <row r="13" spans="1:14" ht="14.4" x14ac:dyDescent="0.3">
      <c r="A13" s="1" t="s">
        <v>45</v>
      </c>
      <c r="B13" s="1" t="s">
        <v>46</v>
      </c>
      <c r="C13" s="1" t="s">
        <v>47</v>
      </c>
      <c r="D13" s="1" t="s">
        <v>48</v>
      </c>
      <c r="E13" s="1" t="s">
        <v>49</v>
      </c>
      <c r="F13" s="1" t="s">
        <v>26</v>
      </c>
      <c r="G13" s="5">
        <v>45499</v>
      </c>
      <c r="H13" s="6">
        <v>550</v>
      </c>
      <c r="I13" s="6">
        <v>656</v>
      </c>
      <c r="J13" s="6">
        <v>0</v>
      </c>
      <c r="K13" s="6">
        <v>656</v>
      </c>
      <c r="L13" s="6">
        <v>550</v>
      </c>
      <c r="M13" s="6">
        <v>656</v>
      </c>
      <c r="N13" s="6">
        <v>0</v>
      </c>
    </row>
    <row r="14" spans="1:14" ht="14.4" x14ac:dyDescent="0.3">
      <c r="A14" s="1" t="s">
        <v>50</v>
      </c>
      <c r="B14" s="1" t="s">
        <v>51</v>
      </c>
      <c r="C14" s="1" t="s">
        <v>52</v>
      </c>
      <c r="D14" s="1" t="s">
        <v>53</v>
      </c>
      <c r="E14" s="1" t="s">
        <v>30</v>
      </c>
      <c r="F14" s="1" t="s">
        <v>26</v>
      </c>
      <c r="G14" s="5">
        <v>42307</v>
      </c>
      <c r="H14" s="6">
        <v>1188</v>
      </c>
      <c r="I14" s="6">
        <v>1193</v>
      </c>
      <c r="J14" s="6">
        <v>0</v>
      </c>
      <c r="K14" s="6">
        <v>1193</v>
      </c>
      <c r="L14" s="6">
        <v>992.5</v>
      </c>
      <c r="M14" s="6">
        <v>0</v>
      </c>
      <c r="N14" s="6">
        <v>0</v>
      </c>
    </row>
    <row r="15" spans="1:14" ht="14.4" x14ac:dyDescent="0.3">
      <c r="A15" s="1" t="s">
        <v>54</v>
      </c>
      <c r="B15" s="1" t="s">
        <v>55</v>
      </c>
      <c r="C15" s="1" t="s">
        <v>56</v>
      </c>
      <c r="D15" s="1" t="s">
        <v>41</v>
      </c>
      <c r="E15" s="1" t="s">
        <v>30</v>
      </c>
      <c r="F15" s="1" t="s">
        <v>26</v>
      </c>
      <c r="G15" s="5">
        <v>42265</v>
      </c>
      <c r="H15" s="6">
        <v>1213</v>
      </c>
      <c r="I15" s="6">
        <v>1213</v>
      </c>
      <c r="J15" s="6">
        <v>0</v>
      </c>
      <c r="K15" s="6">
        <v>1213</v>
      </c>
      <c r="L15" s="6">
        <v>992.5</v>
      </c>
      <c r="M15" s="6">
        <v>1013</v>
      </c>
      <c r="N15" s="6">
        <v>0</v>
      </c>
    </row>
    <row r="16" spans="1:14" ht="14.4" x14ac:dyDescent="0.3">
      <c r="A16" s="1" t="s">
        <v>57</v>
      </c>
      <c r="B16" s="1" t="s">
        <v>58</v>
      </c>
      <c r="C16" s="1" t="s">
        <v>59</v>
      </c>
      <c r="D16" s="1" t="s">
        <v>53</v>
      </c>
      <c r="E16" s="1" t="s">
        <v>30</v>
      </c>
      <c r="F16" s="1" t="s">
        <v>26</v>
      </c>
      <c r="G16" s="5">
        <v>42331</v>
      </c>
      <c r="H16" s="6">
        <v>1168</v>
      </c>
      <c r="I16" s="6">
        <v>1173</v>
      </c>
      <c r="J16" s="6">
        <v>0</v>
      </c>
      <c r="K16" s="6">
        <v>1173</v>
      </c>
      <c r="L16" s="6">
        <v>925</v>
      </c>
      <c r="M16" s="6">
        <v>0</v>
      </c>
      <c r="N16" s="6">
        <v>0</v>
      </c>
    </row>
    <row r="17" spans="1:14" ht="14.4" x14ac:dyDescent="0.3">
      <c r="A17" s="1" t="s">
        <v>60</v>
      </c>
      <c r="B17" s="1" t="s">
        <v>61</v>
      </c>
      <c r="C17" s="1" t="s">
        <v>62</v>
      </c>
      <c r="D17" s="1" t="s">
        <v>24</v>
      </c>
      <c r="E17" s="1" t="s">
        <v>30</v>
      </c>
      <c r="F17" s="1" t="s">
        <v>26</v>
      </c>
      <c r="G17" s="5">
        <v>43224</v>
      </c>
      <c r="H17" s="6">
        <v>1098</v>
      </c>
      <c r="I17" s="6">
        <v>1103</v>
      </c>
      <c r="J17" s="6">
        <v>0</v>
      </c>
      <c r="K17" s="6">
        <v>1103</v>
      </c>
      <c r="L17" s="6">
        <v>940</v>
      </c>
      <c r="M17" s="6">
        <v>688</v>
      </c>
      <c r="N17" s="6">
        <v>0</v>
      </c>
    </row>
    <row r="18" spans="1:14" ht="14.4" x14ac:dyDescent="0.3">
      <c r="A18" s="1" t="s">
        <v>63</v>
      </c>
      <c r="B18" s="1" t="s">
        <v>64</v>
      </c>
      <c r="C18" s="1" t="s">
        <v>65</v>
      </c>
      <c r="D18" s="1" t="s">
        <v>41</v>
      </c>
      <c r="E18" s="1" t="s">
        <v>25</v>
      </c>
      <c r="F18" s="1" t="s">
        <v>26</v>
      </c>
      <c r="G18" s="5">
        <v>43728</v>
      </c>
      <c r="H18" s="6">
        <v>987</v>
      </c>
      <c r="I18" s="6">
        <v>987</v>
      </c>
      <c r="J18" s="6">
        <v>0</v>
      </c>
      <c r="K18" s="6">
        <v>987</v>
      </c>
      <c r="L18" s="6">
        <v>1125</v>
      </c>
      <c r="M18" s="6">
        <v>0</v>
      </c>
      <c r="N18" s="6">
        <v>0</v>
      </c>
    </row>
    <row r="19" spans="1:14" ht="14.4" x14ac:dyDescent="0.3">
      <c r="A19" s="1" t="s">
        <v>66</v>
      </c>
      <c r="B19" s="1" t="s">
        <v>67</v>
      </c>
      <c r="C19" s="1" t="s">
        <v>68</v>
      </c>
      <c r="D19" s="1" t="s">
        <v>48</v>
      </c>
      <c r="E19" s="1" t="s">
        <v>69</v>
      </c>
      <c r="F19" s="1" t="s">
        <v>26</v>
      </c>
      <c r="G19" s="5">
        <v>45505</v>
      </c>
      <c r="H19" s="6">
        <v>1050</v>
      </c>
      <c r="I19" s="6">
        <v>1320</v>
      </c>
      <c r="J19" s="6">
        <v>0</v>
      </c>
      <c r="K19" s="6">
        <v>1320</v>
      </c>
      <c r="L19" s="6">
        <v>1575</v>
      </c>
      <c r="M19" s="6">
        <v>0</v>
      </c>
      <c r="N19" s="6">
        <v>0</v>
      </c>
    </row>
    <row r="20" spans="1:14" ht="14.4" x14ac:dyDescent="0.3">
      <c r="A20" s="1" t="s">
        <v>70</v>
      </c>
      <c r="B20" s="1" t="s">
        <v>71</v>
      </c>
      <c r="C20" s="1" t="s">
        <v>72</v>
      </c>
      <c r="D20" s="1" t="s">
        <v>73</v>
      </c>
      <c r="E20" s="1" t="s">
        <v>74</v>
      </c>
      <c r="F20" s="1" t="s">
        <v>26</v>
      </c>
      <c r="G20" s="5">
        <v>45464</v>
      </c>
      <c r="H20" s="6">
        <v>1095</v>
      </c>
      <c r="I20" s="6">
        <v>1445</v>
      </c>
      <c r="J20" s="6">
        <v>0</v>
      </c>
      <c r="K20" s="6">
        <v>1445</v>
      </c>
      <c r="L20" s="6">
        <v>2040</v>
      </c>
      <c r="M20" s="6">
        <v>0</v>
      </c>
      <c r="N20" s="6">
        <v>0</v>
      </c>
    </row>
    <row r="21" spans="1:14" ht="15.75" customHeight="1" x14ac:dyDescent="0.3">
      <c r="A21" s="1" t="s">
        <v>75</v>
      </c>
      <c r="B21" s="1" t="s">
        <v>76</v>
      </c>
      <c r="C21" s="1" t="s">
        <v>77</v>
      </c>
      <c r="D21" s="1" t="s">
        <v>53</v>
      </c>
      <c r="E21" s="1" t="s">
        <v>69</v>
      </c>
      <c r="F21" s="1" t="s">
        <v>26</v>
      </c>
      <c r="G21" s="5">
        <v>45623</v>
      </c>
      <c r="H21" s="6">
        <v>1075</v>
      </c>
      <c r="I21" s="6">
        <v>1440</v>
      </c>
      <c r="J21" s="6">
        <v>0</v>
      </c>
      <c r="K21" s="6">
        <v>1440</v>
      </c>
      <c r="L21" s="6">
        <v>1462</v>
      </c>
      <c r="M21" s="6">
        <v>0</v>
      </c>
      <c r="N21" s="6">
        <v>0</v>
      </c>
    </row>
    <row r="22" spans="1:14" ht="15.75" customHeight="1" x14ac:dyDescent="0.3">
      <c r="A22" s="1" t="s">
        <v>78</v>
      </c>
      <c r="B22" s="1" t="s">
        <v>79</v>
      </c>
      <c r="C22" s="1" t="s">
        <v>80</v>
      </c>
      <c r="D22" s="1" t="s">
        <v>53</v>
      </c>
      <c r="E22" s="1" t="s">
        <v>69</v>
      </c>
      <c r="F22" s="1" t="s">
        <v>26</v>
      </c>
      <c r="G22" s="5">
        <v>43385</v>
      </c>
      <c r="H22" s="6">
        <v>1373</v>
      </c>
      <c r="I22" s="6">
        <v>1378</v>
      </c>
      <c r="J22" s="6">
        <v>0</v>
      </c>
      <c r="K22" s="6">
        <v>1378</v>
      </c>
      <c r="L22" s="6">
        <v>815</v>
      </c>
      <c r="M22" s="6">
        <v>0</v>
      </c>
      <c r="N22" s="6">
        <v>-60</v>
      </c>
    </row>
    <row r="23" spans="1:14" ht="15.75" customHeight="1" x14ac:dyDescent="0.3">
      <c r="A23" s="1" t="s">
        <v>81</v>
      </c>
      <c r="B23" s="1" t="s">
        <v>82</v>
      </c>
      <c r="C23" s="1" t="s">
        <v>83</v>
      </c>
      <c r="D23" s="1" t="s">
        <v>73</v>
      </c>
      <c r="E23" s="1" t="s">
        <v>30</v>
      </c>
      <c r="F23" s="1" t="s">
        <v>26</v>
      </c>
      <c r="G23" s="5">
        <v>45450</v>
      </c>
      <c r="H23" s="6">
        <v>895</v>
      </c>
      <c r="I23" s="6">
        <v>1096</v>
      </c>
      <c r="J23" s="6">
        <v>0</v>
      </c>
      <c r="K23" s="6">
        <v>1096</v>
      </c>
      <c r="L23" s="6">
        <v>895</v>
      </c>
      <c r="M23" s="6">
        <v>0</v>
      </c>
      <c r="N23" s="6">
        <v>0</v>
      </c>
    </row>
    <row r="24" spans="1:14" ht="15.75" customHeight="1" x14ac:dyDescent="0.3">
      <c r="A24" s="1" t="s">
        <v>84</v>
      </c>
      <c r="B24" s="1" t="s">
        <v>85</v>
      </c>
      <c r="C24" s="1" t="s">
        <v>86</v>
      </c>
      <c r="D24" s="1" t="s">
        <v>87</v>
      </c>
      <c r="E24" s="1" t="s">
        <v>30</v>
      </c>
      <c r="F24" s="1" t="s">
        <v>26</v>
      </c>
      <c r="G24" s="5">
        <v>45506</v>
      </c>
      <c r="H24" s="6">
        <v>850</v>
      </c>
      <c r="I24" s="6">
        <v>1056</v>
      </c>
      <c r="J24" s="6">
        <v>0</v>
      </c>
      <c r="K24" s="6">
        <v>1056</v>
      </c>
      <c r="L24" s="6">
        <v>850</v>
      </c>
      <c r="M24" s="6">
        <v>0</v>
      </c>
      <c r="N24" s="6">
        <v>0</v>
      </c>
    </row>
    <row r="25" spans="1:14" ht="15.75" customHeight="1" x14ac:dyDescent="0.3">
      <c r="A25" s="1" t="s">
        <v>88</v>
      </c>
      <c r="B25" s="1" t="s">
        <v>89</v>
      </c>
      <c r="C25" s="1" t="s">
        <v>90</v>
      </c>
      <c r="D25" s="1" t="s">
        <v>91</v>
      </c>
      <c r="E25" s="1" t="s">
        <v>30</v>
      </c>
      <c r="F25" s="1" t="s">
        <v>26</v>
      </c>
      <c r="G25" s="5">
        <v>45520</v>
      </c>
      <c r="H25" s="6">
        <v>850</v>
      </c>
      <c r="I25" s="6">
        <v>1070</v>
      </c>
      <c r="J25" s="6">
        <v>0</v>
      </c>
      <c r="K25" s="6">
        <v>1070</v>
      </c>
      <c r="L25" s="6">
        <v>850</v>
      </c>
      <c r="M25" s="6">
        <v>0</v>
      </c>
      <c r="N25" s="6">
        <v>0</v>
      </c>
    </row>
    <row r="26" spans="1:14" ht="15.75" customHeight="1" x14ac:dyDescent="0.3">
      <c r="A26" s="1" t="s">
        <v>92</v>
      </c>
      <c r="B26" s="1" t="s">
        <v>93</v>
      </c>
      <c r="C26" s="1" t="s">
        <v>94</v>
      </c>
      <c r="D26" s="1" t="s">
        <v>48</v>
      </c>
      <c r="E26" s="1" t="s">
        <v>49</v>
      </c>
      <c r="F26" s="1" t="s">
        <v>26</v>
      </c>
      <c r="G26" s="5">
        <v>45481</v>
      </c>
      <c r="H26" s="6">
        <v>595</v>
      </c>
      <c r="I26" s="6">
        <v>701</v>
      </c>
      <c r="J26" s="6">
        <v>0</v>
      </c>
      <c r="K26" s="6">
        <v>701</v>
      </c>
      <c r="L26" s="6">
        <v>595</v>
      </c>
      <c r="M26" s="6">
        <v>0</v>
      </c>
      <c r="N26" s="6">
        <v>0</v>
      </c>
    </row>
    <row r="27" spans="1:14" ht="15.75" customHeight="1" x14ac:dyDescent="0.3">
      <c r="A27" s="1" t="s">
        <v>95</v>
      </c>
      <c r="B27" s="1" t="s">
        <v>96</v>
      </c>
      <c r="C27" s="1" t="s">
        <v>97</v>
      </c>
      <c r="D27" s="1" t="s">
        <v>41</v>
      </c>
      <c r="E27" s="1" t="s">
        <v>30</v>
      </c>
      <c r="F27" s="1" t="s">
        <v>26</v>
      </c>
      <c r="G27" s="5">
        <v>45539</v>
      </c>
      <c r="H27" s="6">
        <v>850</v>
      </c>
      <c r="I27" s="6">
        <v>1070</v>
      </c>
      <c r="J27" s="6">
        <v>0</v>
      </c>
      <c r="K27" s="6">
        <v>1070</v>
      </c>
      <c r="L27" s="6">
        <v>850</v>
      </c>
      <c r="M27" s="6">
        <v>1070</v>
      </c>
      <c r="N27" s="6">
        <v>0</v>
      </c>
    </row>
    <row r="28" spans="1:14" ht="15.75" customHeight="1" x14ac:dyDescent="0.3">
      <c r="A28" s="1" t="s">
        <v>98</v>
      </c>
      <c r="B28" s="1" t="s">
        <v>99</v>
      </c>
      <c r="C28" s="1" t="s">
        <v>100</v>
      </c>
      <c r="D28" s="1" t="s">
        <v>41</v>
      </c>
      <c r="E28" s="1" t="s">
        <v>30</v>
      </c>
      <c r="F28" s="1" t="s">
        <v>26</v>
      </c>
      <c r="G28" s="5">
        <v>45566</v>
      </c>
      <c r="H28" s="6">
        <v>850</v>
      </c>
      <c r="I28" s="6">
        <v>1040</v>
      </c>
      <c r="J28" s="6">
        <v>0</v>
      </c>
      <c r="K28" s="6">
        <v>1040</v>
      </c>
      <c r="L28" s="6">
        <v>850</v>
      </c>
      <c r="M28" s="6">
        <v>0</v>
      </c>
      <c r="N28" s="6">
        <v>0</v>
      </c>
    </row>
    <row r="29" spans="1:14" ht="15.75" customHeight="1" x14ac:dyDescent="0.3">
      <c r="A29" s="1" t="s">
        <v>102</v>
      </c>
      <c r="B29" s="1" t="s">
        <v>103</v>
      </c>
      <c r="C29" s="1" t="s">
        <v>104</v>
      </c>
      <c r="D29" s="1" t="s">
        <v>105</v>
      </c>
      <c r="E29" s="1" t="s">
        <v>30</v>
      </c>
      <c r="F29" s="1" t="s">
        <v>26</v>
      </c>
      <c r="G29" s="5">
        <v>44113</v>
      </c>
      <c r="H29" s="6">
        <v>1020</v>
      </c>
      <c r="I29" s="6">
        <v>1213</v>
      </c>
      <c r="J29" s="6">
        <v>0</v>
      </c>
      <c r="K29" s="6">
        <v>1213</v>
      </c>
      <c r="L29" s="6">
        <v>1015</v>
      </c>
      <c r="M29" s="6">
        <v>0</v>
      </c>
      <c r="N29" s="6">
        <v>0</v>
      </c>
    </row>
    <row r="30" spans="1:14" ht="15.75" customHeight="1" x14ac:dyDescent="0.3">
      <c r="A30" s="1" t="s">
        <v>106</v>
      </c>
      <c r="B30" s="1" t="s">
        <v>107</v>
      </c>
      <c r="C30" s="1" t="s">
        <v>108</v>
      </c>
      <c r="D30" s="1" t="s">
        <v>73</v>
      </c>
      <c r="E30" s="1" t="s">
        <v>30</v>
      </c>
      <c r="F30" s="1" t="s">
        <v>26</v>
      </c>
      <c r="G30" s="5">
        <v>45474</v>
      </c>
      <c r="H30" s="6">
        <v>925</v>
      </c>
      <c r="I30" s="6">
        <v>1118</v>
      </c>
      <c r="J30" s="6">
        <v>0</v>
      </c>
      <c r="K30" s="6">
        <v>1118</v>
      </c>
      <c r="L30" s="6">
        <v>1387.5</v>
      </c>
      <c r="M30" s="6">
        <v>0</v>
      </c>
      <c r="N30" s="6">
        <v>0</v>
      </c>
    </row>
    <row r="31" spans="1:14" ht="15.75" customHeight="1" x14ac:dyDescent="0.3">
      <c r="A31" s="1" t="s">
        <v>109</v>
      </c>
      <c r="B31" s="1" t="s">
        <v>110</v>
      </c>
      <c r="C31" s="1" t="s">
        <v>111</v>
      </c>
      <c r="D31" s="1" t="s">
        <v>24</v>
      </c>
      <c r="E31" s="1" t="s">
        <v>25</v>
      </c>
      <c r="F31" s="1" t="s">
        <v>26</v>
      </c>
      <c r="G31" s="5">
        <v>44302</v>
      </c>
      <c r="H31" s="6">
        <v>735</v>
      </c>
      <c r="I31" s="6">
        <v>866</v>
      </c>
      <c r="J31" s="6">
        <v>0</v>
      </c>
      <c r="K31" s="6">
        <v>866</v>
      </c>
      <c r="L31" s="6">
        <v>550</v>
      </c>
      <c r="M31" s="6">
        <v>0</v>
      </c>
      <c r="N31" s="6">
        <v>0</v>
      </c>
    </row>
    <row r="32" spans="1:14" ht="15.75" customHeight="1" x14ac:dyDescent="0.3">
      <c r="A32" s="19" t="s">
        <v>113</v>
      </c>
      <c r="B32" s="17"/>
      <c r="C32" s="17"/>
      <c r="D32" s="17"/>
      <c r="E32" s="17"/>
      <c r="F32" s="17"/>
      <c r="G32" s="17"/>
      <c r="H32" s="7">
        <v>23957</v>
      </c>
      <c r="I32" s="7">
        <v>27438</v>
      </c>
      <c r="J32" s="7">
        <v>0</v>
      </c>
      <c r="K32" s="7">
        <v>27438</v>
      </c>
      <c r="L32" s="7">
        <v>24652</v>
      </c>
      <c r="M32" s="7">
        <v>5611</v>
      </c>
      <c r="N32" s="7">
        <v>-60</v>
      </c>
    </row>
    <row r="33" spans="1:14" ht="15.75" customHeight="1" x14ac:dyDescent="0.3">
      <c r="A33" s="20" t="s">
        <v>114</v>
      </c>
      <c r="B33" s="17"/>
      <c r="C33" s="17"/>
      <c r="D33" s="17"/>
      <c r="E33" s="17"/>
      <c r="F33" s="17"/>
      <c r="G33" s="17"/>
      <c r="H33" s="17"/>
      <c r="I33" s="20" t="s">
        <v>4</v>
      </c>
      <c r="J33" s="17"/>
      <c r="K33" s="17"/>
      <c r="L33" s="20" t="s">
        <v>4</v>
      </c>
      <c r="M33" s="17"/>
      <c r="N33" s="17"/>
    </row>
    <row r="34" spans="1:14" ht="15.75" customHeight="1" x14ac:dyDescent="0.3">
      <c r="A34" s="1" t="s">
        <v>115</v>
      </c>
      <c r="B34" s="1" t="s">
        <v>116</v>
      </c>
      <c r="C34" s="1" t="s">
        <v>117</v>
      </c>
      <c r="D34" s="1" t="s">
        <v>34</v>
      </c>
      <c r="E34" s="1" t="s">
        <v>25</v>
      </c>
      <c r="F34" s="1" t="s">
        <v>26</v>
      </c>
      <c r="G34" s="5">
        <v>45656</v>
      </c>
      <c r="H34" s="6">
        <v>850</v>
      </c>
      <c r="I34" s="6">
        <v>850</v>
      </c>
      <c r="J34" s="6">
        <v>0</v>
      </c>
      <c r="K34" s="6">
        <v>850</v>
      </c>
      <c r="L34" s="6">
        <v>521</v>
      </c>
      <c r="M34" s="6">
        <v>0</v>
      </c>
      <c r="N34" s="6">
        <v>672</v>
      </c>
    </row>
    <row r="35" spans="1:14" ht="15.75" customHeight="1" x14ac:dyDescent="0.3">
      <c r="A35" s="1" t="s">
        <v>118</v>
      </c>
      <c r="B35" s="1" t="s">
        <v>209</v>
      </c>
      <c r="C35" s="1" t="s">
        <v>132</v>
      </c>
      <c r="D35" s="1" t="s">
        <v>210</v>
      </c>
      <c r="E35" s="1" t="s">
        <v>25</v>
      </c>
      <c r="F35" s="1" t="s">
        <v>26</v>
      </c>
      <c r="G35" s="5">
        <v>45078</v>
      </c>
      <c r="H35" s="6">
        <v>1010</v>
      </c>
      <c r="I35" s="6">
        <v>1244</v>
      </c>
      <c r="J35" s="6">
        <v>0</v>
      </c>
      <c r="K35" s="6">
        <v>1244</v>
      </c>
      <c r="L35" s="6">
        <v>1163</v>
      </c>
      <c r="M35" s="6">
        <v>0</v>
      </c>
      <c r="N35" s="6">
        <v>0</v>
      </c>
    </row>
    <row r="36" spans="1:14" ht="15.75" customHeight="1" x14ac:dyDescent="0.3">
      <c r="A36" s="1" t="s">
        <v>120</v>
      </c>
      <c r="B36" s="1" t="s">
        <v>211</v>
      </c>
      <c r="C36" s="1" t="s">
        <v>212</v>
      </c>
      <c r="D36" s="1" t="s">
        <v>213</v>
      </c>
      <c r="E36" s="1" t="s">
        <v>25</v>
      </c>
      <c r="F36" s="1" t="s">
        <v>26</v>
      </c>
      <c r="G36" s="5">
        <v>44552</v>
      </c>
      <c r="H36" s="6">
        <v>930</v>
      </c>
      <c r="I36" s="6">
        <v>1124</v>
      </c>
      <c r="J36" s="6">
        <v>0</v>
      </c>
      <c r="K36" s="6">
        <v>1124</v>
      </c>
      <c r="L36" s="6">
        <v>705</v>
      </c>
      <c r="M36" s="6">
        <v>0</v>
      </c>
      <c r="N36" s="6">
        <v>0</v>
      </c>
    </row>
    <row r="37" spans="1:14" ht="15.75" customHeight="1" x14ac:dyDescent="0.3">
      <c r="A37" s="1" t="s">
        <v>124</v>
      </c>
      <c r="B37" s="1" t="s">
        <v>125</v>
      </c>
      <c r="C37" s="1" t="s">
        <v>126</v>
      </c>
      <c r="D37" s="1" t="s">
        <v>48</v>
      </c>
      <c r="E37" s="1" t="s">
        <v>30</v>
      </c>
      <c r="F37" s="1" t="s">
        <v>26</v>
      </c>
      <c r="G37" s="5">
        <v>45485</v>
      </c>
      <c r="H37" s="6">
        <v>1015</v>
      </c>
      <c r="I37" s="6">
        <v>1246</v>
      </c>
      <c r="J37" s="6">
        <v>0</v>
      </c>
      <c r="K37" s="6">
        <v>1246</v>
      </c>
      <c r="L37" s="6">
        <v>1015</v>
      </c>
      <c r="M37" s="6">
        <v>0</v>
      </c>
      <c r="N37" s="6">
        <v>0</v>
      </c>
    </row>
    <row r="38" spans="1:14" ht="15.75" customHeight="1" x14ac:dyDescent="0.3">
      <c r="A38" s="1" t="s">
        <v>127</v>
      </c>
      <c r="B38" s="1" t="s">
        <v>128</v>
      </c>
      <c r="C38" s="1" t="s">
        <v>129</v>
      </c>
      <c r="D38" s="1" t="s">
        <v>48</v>
      </c>
      <c r="E38" s="1" t="s">
        <v>25</v>
      </c>
      <c r="F38" s="1" t="s">
        <v>26</v>
      </c>
      <c r="G38" s="5">
        <v>45495</v>
      </c>
      <c r="H38" s="6">
        <v>800</v>
      </c>
      <c r="I38" s="6">
        <v>978</v>
      </c>
      <c r="J38" s="6">
        <v>0</v>
      </c>
      <c r="K38" s="6">
        <v>978</v>
      </c>
      <c r="L38" s="6">
        <v>800</v>
      </c>
      <c r="M38" s="6">
        <v>0</v>
      </c>
      <c r="N38" s="6">
        <v>0</v>
      </c>
    </row>
    <row r="39" spans="1:14" ht="15.75" customHeight="1" x14ac:dyDescent="0.3">
      <c r="A39" s="1" t="s">
        <v>130</v>
      </c>
      <c r="B39" s="1" t="s">
        <v>131</v>
      </c>
      <c r="C39" s="1" t="s">
        <v>132</v>
      </c>
      <c r="D39" s="1" t="s">
        <v>112</v>
      </c>
      <c r="E39" s="1" t="s">
        <v>49</v>
      </c>
      <c r="F39" s="1" t="s">
        <v>26</v>
      </c>
      <c r="G39" s="5">
        <v>45078</v>
      </c>
      <c r="H39" s="6">
        <v>750</v>
      </c>
      <c r="I39" s="6">
        <v>874</v>
      </c>
      <c r="J39" s="6">
        <v>0</v>
      </c>
      <c r="K39" s="6">
        <v>874</v>
      </c>
      <c r="L39" s="6">
        <v>575</v>
      </c>
      <c r="M39" s="6">
        <v>0</v>
      </c>
      <c r="N39" s="6">
        <v>0</v>
      </c>
    </row>
    <row r="40" spans="1:14" ht="15.75" customHeight="1" x14ac:dyDescent="0.3">
      <c r="A40" s="1" t="s">
        <v>133</v>
      </c>
      <c r="B40" s="1" t="s">
        <v>134</v>
      </c>
      <c r="C40" s="1" t="s">
        <v>23</v>
      </c>
      <c r="D40" s="1" t="s">
        <v>24</v>
      </c>
      <c r="E40" s="1" t="s">
        <v>30</v>
      </c>
      <c r="F40" s="1" t="s">
        <v>26</v>
      </c>
      <c r="G40" s="5">
        <v>45413</v>
      </c>
      <c r="H40" s="6">
        <v>1005</v>
      </c>
      <c r="I40" s="6">
        <v>1225</v>
      </c>
      <c r="J40" s="6">
        <v>0</v>
      </c>
      <c r="K40" s="6">
        <v>1225</v>
      </c>
      <c r="L40" s="6">
        <v>1005</v>
      </c>
      <c r="M40" s="6">
        <v>1225</v>
      </c>
      <c r="N40" s="6">
        <v>0</v>
      </c>
    </row>
    <row r="41" spans="1:14" ht="15.75" customHeight="1" x14ac:dyDescent="0.3">
      <c r="A41" s="1" t="s">
        <v>135</v>
      </c>
      <c r="B41" s="1" t="s">
        <v>136</v>
      </c>
      <c r="C41" s="1" t="s">
        <v>137</v>
      </c>
      <c r="D41" s="1" t="s">
        <v>53</v>
      </c>
      <c r="E41" s="1" t="s">
        <v>30</v>
      </c>
      <c r="F41" s="1" t="s">
        <v>26</v>
      </c>
      <c r="G41" s="5">
        <v>44323</v>
      </c>
      <c r="H41" s="6">
        <v>1010</v>
      </c>
      <c r="I41" s="6">
        <v>1249</v>
      </c>
      <c r="J41" s="6">
        <v>0</v>
      </c>
      <c r="K41" s="6">
        <v>1249</v>
      </c>
      <c r="L41" s="6">
        <v>865</v>
      </c>
      <c r="M41" s="6">
        <v>0</v>
      </c>
      <c r="N41" s="6">
        <v>0</v>
      </c>
    </row>
    <row r="42" spans="1:14" ht="15.75" customHeight="1" x14ac:dyDescent="0.3">
      <c r="A42" s="1" t="s">
        <v>138</v>
      </c>
      <c r="B42" s="1" t="s">
        <v>139</v>
      </c>
      <c r="C42" s="1" t="s">
        <v>140</v>
      </c>
      <c r="D42" s="1" t="s">
        <v>34</v>
      </c>
      <c r="E42" s="1" t="s">
        <v>30</v>
      </c>
      <c r="F42" s="1" t="s">
        <v>26</v>
      </c>
      <c r="G42" s="5">
        <v>45638</v>
      </c>
      <c r="H42" s="6">
        <v>925</v>
      </c>
      <c r="I42" s="6">
        <v>925</v>
      </c>
      <c r="J42" s="6">
        <v>0</v>
      </c>
      <c r="K42" s="6">
        <v>925</v>
      </c>
      <c r="L42" s="6">
        <v>925</v>
      </c>
      <c r="M42" s="6">
        <v>215</v>
      </c>
      <c r="N42" s="6">
        <v>0</v>
      </c>
    </row>
    <row r="43" spans="1:14" ht="15.75" customHeight="1" x14ac:dyDescent="0.3">
      <c r="A43" s="1" t="s">
        <v>141</v>
      </c>
      <c r="B43" s="1" t="s">
        <v>119</v>
      </c>
      <c r="C43" s="1" t="s">
        <v>4</v>
      </c>
      <c r="D43" s="1" t="s">
        <v>4</v>
      </c>
      <c r="E43" s="1" t="s">
        <v>30</v>
      </c>
      <c r="F43" s="1" t="s">
        <v>4</v>
      </c>
      <c r="G43" s="5" t="s">
        <v>4</v>
      </c>
      <c r="H43" s="6"/>
      <c r="I43" s="6">
        <v>0</v>
      </c>
      <c r="J43" s="6">
        <v>0</v>
      </c>
      <c r="K43" s="6">
        <v>0</v>
      </c>
      <c r="L43" s="6">
        <v>0</v>
      </c>
      <c r="M43" s="6">
        <v>0</v>
      </c>
      <c r="N43" s="6">
        <v>0</v>
      </c>
    </row>
    <row r="44" spans="1:14" ht="15.75" customHeight="1" x14ac:dyDescent="0.3">
      <c r="A44" s="1" t="s">
        <v>142</v>
      </c>
      <c r="B44" s="1" t="s">
        <v>143</v>
      </c>
      <c r="C44" s="1" t="s">
        <v>144</v>
      </c>
      <c r="D44" s="1" t="s">
        <v>41</v>
      </c>
      <c r="E44" s="1" t="s">
        <v>30</v>
      </c>
      <c r="F44" s="1" t="s">
        <v>26</v>
      </c>
      <c r="G44" s="5">
        <v>45544</v>
      </c>
      <c r="H44" s="6">
        <v>950</v>
      </c>
      <c r="I44" s="6">
        <v>1150</v>
      </c>
      <c r="J44" s="6">
        <v>0</v>
      </c>
      <c r="K44" s="6">
        <v>1150</v>
      </c>
      <c r="L44" s="6">
        <v>950</v>
      </c>
      <c r="M44" s="6">
        <v>0</v>
      </c>
      <c r="N44" s="6">
        <v>0</v>
      </c>
    </row>
    <row r="45" spans="1:14" ht="15.75" customHeight="1" x14ac:dyDescent="0.3">
      <c r="A45" s="1" t="s">
        <v>145</v>
      </c>
      <c r="B45" s="1" t="s">
        <v>146</v>
      </c>
      <c r="C45" s="1" t="s">
        <v>147</v>
      </c>
      <c r="D45" s="1" t="s">
        <v>24</v>
      </c>
      <c r="E45" s="1" t="s">
        <v>25</v>
      </c>
      <c r="F45" s="1" t="s">
        <v>26</v>
      </c>
      <c r="G45" s="5">
        <v>45030</v>
      </c>
      <c r="H45" s="6">
        <v>915</v>
      </c>
      <c r="I45" s="6">
        <v>1109</v>
      </c>
      <c r="J45" s="6">
        <v>0</v>
      </c>
      <c r="K45" s="6">
        <v>1109</v>
      </c>
      <c r="L45" s="6">
        <v>876</v>
      </c>
      <c r="M45" s="6">
        <v>0</v>
      </c>
      <c r="N45" s="6">
        <v>189</v>
      </c>
    </row>
    <row r="46" spans="1:14" ht="15.75" customHeight="1" x14ac:dyDescent="0.3">
      <c r="A46" s="1" t="s">
        <v>148</v>
      </c>
      <c r="B46" s="1" t="s">
        <v>149</v>
      </c>
      <c r="C46" s="1" t="s">
        <v>150</v>
      </c>
      <c r="D46" s="1" t="s">
        <v>105</v>
      </c>
      <c r="E46" s="1" t="s">
        <v>25</v>
      </c>
      <c r="F46" s="1" t="s">
        <v>26</v>
      </c>
      <c r="G46" s="5">
        <v>45176</v>
      </c>
      <c r="H46" s="6">
        <v>915</v>
      </c>
      <c r="I46" s="6">
        <v>1095</v>
      </c>
      <c r="J46" s="6">
        <v>0</v>
      </c>
      <c r="K46" s="6">
        <v>1095</v>
      </c>
      <c r="L46" s="6">
        <v>875</v>
      </c>
      <c r="M46" s="6">
        <v>1095</v>
      </c>
      <c r="N46" s="6">
        <v>0</v>
      </c>
    </row>
    <row r="47" spans="1:14" ht="15.75" customHeight="1" x14ac:dyDescent="0.3">
      <c r="A47" s="1" t="s">
        <v>151</v>
      </c>
      <c r="B47" s="1" t="s">
        <v>152</v>
      </c>
      <c r="C47" s="1" t="s">
        <v>153</v>
      </c>
      <c r="D47" s="1" t="s">
        <v>53</v>
      </c>
      <c r="E47" s="1" t="s">
        <v>49</v>
      </c>
      <c r="F47" s="1" t="s">
        <v>26</v>
      </c>
      <c r="G47" s="5">
        <v>45601</v>
      </c>
      <c r="H47" s="6">
        <v>565</v>
      </c>
      <c r="I47" s="6">
        <v>700</v>
      </c>
      <c r="J47" s="6">
        <v>0</v>
      </c>
      <c r="K47" s="6">
        <v>700</v>
      </c>
      <c r="L47" s="6">
        <v>565</v>
      </c>
      <c r="M47" s="6">
        <v>0</v>
      </c>
      <c r="N47" s="6">
        <v>0</v>
      </c>
    </row>
    <row r="48" spans="1:14" ht="15.75" customHeight="1" x14ac:dyDescent="0.3">
      <c r="A48" s="1" t="s">
        <v>78</v>
      </c>
      <c r="B48" s="1" t="s">
        <v>154</v>
      </c>
      <c r="C48" s="1" t="s">
        <v>155</v>
      </c>
      <c r="D48" s="1" t="s">
        <v>41</v>
      </c>
      <c r="E48" s="1" t="s">
        <v>25</v>
      </c>
      <c r="F48" s="1" t="s">
        <v>26</v>
      </c>
      <c r="G48" s="5">
        <v>45562</v>
      </c>
      <c r="H48" s="6">
        <v>975</v>
      </c>
      <c r="I48" s="6">
        <v>1197</v>
      </c>
      <c r="J48" s="6">
        <v>0</v>
      </c>
      <c r="K48" s="6">
        <v>1197</v>
      </c>
      <c r="L48" s="6">
        <v>975</v>
      </c>
      <c r="M48" s="6">
        <v>0</v>
      </c>
      <c r="N48" s="6">
        <v>0</v>
      </c>
    </row>
    <row r="49" spans="1:14" ht="15.75" customHeight="1" x14ac:dyDescent="0.3">
      <c r="A49" s="1" t="s">
        <v>81</v>
      </c>
      <c r="B49" s="1" t="s">
        <v>156</v>
      </c>
      <c r="C49" s="1" t="s">
        <v>117</v>
      </c>
      <c r="D49" s="1" t="s">
        <v>34</v>
      </c>
      <c r="E49" s="1" t="s">
        <v>30</v>
      </c>
      <c r="F49" s="1" t="s">
        <v>26</v>
      </c>
      <c r="G49" s="5">
        <v>45656</v>
      </c>
      <c r="H49" s="6">
        <v>925</v>
      </c>
      <c r="I49" s="6">
        <v>925</v>
      </c>
      <c r="J49" s="6">
        <v>0</v>
      </c>
      <c r="K49" s="6">
        <v>925</v>
      </c>
      <c r="L49" s="6">
        <v>925</v>
      </c>
      <c r="M49" s="6">
        <v>0</v>
      </c>
      <c r="N49" s="6">
        <v>368.5</v>
      </c>
    </row>
    <row r="50" spans="1:14" ht="15.75" customHeight="1" x14ac:dyDescent="0.3">
      <c r="A50" s="1" t="s">
        <v>84</v>
      </c>
      <c r="B50" s="1" t="s">
        <v>157</v>
      </c>
      <c r="C50" s="1" t="s">
        <v>158</v>
      </c>
      <c r="D50" s="1" t="s">
        <v>112</v>
      </c>
      <c r="E50" s="1" t="s">
        <v>30</v>
      </c>
      <c r="F50" s="1" t="s">
        <v>26</v>
      </c>
      <c r="G50" s="5">
        <v>44317</v>
      </c>
      <c r="H50" s="6">
        <v>1015</v>
      </c>
      <c r="I50" s="6">
        <v>1234</v>
      </c>
      <c r="J50" s="6">
        <v>0</v>
      </c>
      <c r="K50" s="6">
        <v>1234</v>
      </c>
      <c r="L50" s="6">
        <v>775</v>
      </c>
      <c r="M50" s="6">
        <v>65</v>
      </c>
      <c r="N50" s="6">
        <v>0</v>
      </c>
    </row>
    <row r="51" spans="1:14" ht="15.75" customHeight="1" x14ac:dyDescent="0.3">
      <c r="A51" s="1" t="s">
        <v>88</v>
      </c>
      <c r="B51" s="1" t="s">
        <v>159</v>
      </c>
      <c r="C51" s="1" t="s">
        <v>160</v>
      </c>
      <c r="D51" s="1" t="s">
        <v>53</v>
      </c>
      <c r="E51" s="1" t="s">
        <v>25</v>
      </c>
      <c r="F51" s="1" t="s">
        <v>26</v>
      </c>
      <c r="G51" s="5">
        <v>44524</v>
      </c>
      <c r="H51" s="6">
        <v>855</v>
      </c>
      <c r="I51" s="6">
        <v>1030</v>
      </c>
      <c r="J51" s="6">
        <v>0</v>
      </c>
      <c r="K51" s="6">
        <v>1030</v>
      </c>
      <c r="L51" s="6">
        <v>615</v>
      </c>
      <c r="M51" s="6">
        <v>0</v>
      </c>
      <c r="N51" s="6">
        <v>0</v>
      </c>
    </row>
    <row r="52" spans="1:14" ht="15.75" customHeight="1" x14ac:dyDescent="0.3">
      <c r="A52" s="1" t="s">
        <v>92</v>
      </c>
      <c r="B52" s="1" t="s">
        <v>161</v>
      </c>
      <c r="C52" s="1" t="s">
        <v>162</v>
      </c>
      <c r="D52" s="1" t="s">
        <v>73</v>
      </c>
      <c r="E52" s="1" t="s">
        <v>49</v>
      </c>
      <c r="F52" s="1" t="s">
        <v>26</v>
      </c>
      <c r="G52" s="5">
        <v>44736</v>
      </c>
      <c r="H52" s="6">
        <v>680</v>
      </c>
      <c r="I52" s="6">
        <v>835</v>
      </c>
      <c r="J52" s="6">
        <v>0</v>
      </c>
      <c r="K52" s="6">
        <v>835</v>
      </c>
      <c r="L52" s="6">
        <v>675</v>
      </c>
      <c r="M52" s="6">
        <v>0</v>
      </c>
      <c r="N52" s="6">
        <v>0</v>
      </c>
    </row>
    <row r="53" spans="1:14" ht="15.75" customHeight="1" x14ac:dyDescent="0.3">
      <c r="A53" s="1" t="s">
        <v>95</v>
      </c>
      <c r="B53" s="1" t="s">
        <v>214</v>
      </c>
      <c r="C53" s="1" t="s">
        <v>215</v>
      </c>
      <c r="D53" s="1" t="s">
        <v>213</v>
      </c>
      <c r="E53" s="1" t="s">
        <v>30</v>
      </c>
      <c r="F53" s="1" t="s">
        <v>26</v>
      </c>
      <c r="G53" s="5">
        <v>44910</v>
      </c>
      <c r="H53" s="6">
        <v>980</v>
      </c>
      <c r="I53" s="6">
        <v>1199</v>
      </c>
      <c r="J53" s="6">
        <v>0</v>
      </c>
      <c r="K53" s="6">
        <v>1199</v>
      </c>
      <c r="L53" s="6">
        <v>800</v>
      </c>
      <c r="M53" s="6">
        <v>0</v>
      </c>
      <c r="N53" s="6">
        <v>0</v>
      </c>
    </row>
    <row r="54" spans="1:14" ht="15.75" customHeight="1" x14ac:dyDescent="0.3">
      <c r="A54" s="1" t="s">
        <v>98</v>
      </c>
      <c r="B54" s="1" t="s">
        <v>166</v>
      </c>
      <c r="C54" s="1" t="s">
        <v>167</v>
      </c>
      <c r="D54" s="1" t="s">
        <v>73</v>
      </c>
      <c r="E54" s="1" t="s">
        <v>30</v>
      </c>
      <c r="F54" s="1" t="s">
        <v>26</v>
      </c>
      <c r="G54" s="5">
        <v>45108</v>
      </c>
      <c r="H54" s="6">
        <v>1010</v>
      </c>
      <c r="I54" s="6">
        <v>1229</v>
      </c>
      <c r="J54" s="6">
        <v>0</v>
      </c>
      <c r="K54" s="6">
        <v>1229</v>
      </c>
      <c r="L54" s="6">
        <v>830</v>
      </c>
      <c r="M54" s="6">
        <v>0</v>
      </c>
      <c r="N54" s="6">
        <v>0</v>
      </c>
    </row>
    <row r="55" spans="1:14" ht="15.75" customHeight="1" x14ac:dyDescent="0.3">
      <c r="A55" s="1" t="s">
        <v>102</v>
      </c>
      <c r="B55" s="1" t="s">
        <v>168</v>
      </c>
      <c r="C55" s="1" t="s">
        <v>169</v>
      </c>
      <c r="D55" s="1" t="s">
        <v>73</v>
      </c>
      <c r="E55" s="1" t="s">
        <v>30</v>
      </c>
      <c r="F55" s="1" t="s">
        <v>26</v>
      </c>
      <c r="G55" s="5">
        <v>45471</v>
      </c>
      <c r="H55" s="6">
        <v>975</v>
      </c>
      <c r="I55" s="6">
        <v>1194</v>
      </c>
      <c r="J55" s="6">
        <v>0</v>
      </c>
      <c r="K55" s="6">
        <v>1194</v>
      </c>
      <c r="L55" s="6">
        <v>975</v>
      </c>
      <c r="M55" s="6">
        <v>7164</v>
      </c>
      <c r="N55" s="6">
        <v>0</v>
      </c>
    </row>
    <row r="56" spans="1:14" ht="15.75" customHeight="1" x14ac:dyDescent="0.3">
      <c r="A56" s="1" t="s">
        <v>106</v>
      </c>
      <c r="B56" s="1" t="s">
        <v>170</v>
      </c>
      <c r="C56" s="1" t="s">
        <v>108</v>
      </c>
      <c r="D56" s="1" t="s">
        <v>73</v>
      </c>
      <c r="E56" s="1" t="s">
        <v>30</v>
      </c>
      <c r="F56" s="1" t="s">
        <v>26</v>
      </c>
      <c r="G56" s="5">
        <v>45474</v>
      </c>
      <c r="H56" s="6">
        <v>975</v>
      </c>
      <c r="I56" s="6">
        <v>1194</v>
      </c>
      <c r="J56" s="6">
        <v>0</v>
      </c>
      <c r="K56" s="6">
        <v>1194</v>
      </c>
      <c r="L56" s="6">
        <v>975</v>
      </c>
      <c r="M56" s="6">
        <v>0</v>
      </c>
      <c r="N56" s="6">
        <v>0</v>
      </c>
    </row>
    <row r="57" spans="1:14" ht="15.75" customHeight="1" x14ac:dyDescent="0.3">
      <c r="A57" s="1" t="s">
        <v>109</v>
      </c>
      <c r="B57" s="1" t="s">
        <v>171</v>
      </c>
      <c r="C57" s="1" t="s">
        <v>172</v>
      </c>
      <c r="D57" s="1" t="s">
        <v>48</v>
      </c>
      <c r="E57" s="1" t="s">
        <v>30</v>
      </c>
      <c r="F57" s="1" t="s">
        <v>26</v>
      </c>
      <c r="G57" s="5">
        <v>45476</v>
      </c>
      <c r="H57" s="6">
        <v>1005</v>
      </c>
      <c r="I57" s="6">
        <v>1205</v>
      </c>
      <c r="J57" s="6">
        <v>0</v>
      </c>
      <c r="K57" s="6">
        <v>1205</v>
      </c>
      <c r="L57" s="6">
        <v>1005</v>
      </c>
      <c r="M57" s="6">
        <v>0</v>
      </c>
      <c r="N57" s="6">
        <v>0</v>
      </c>
    </row>
    <row r="58" spans="1:14" ht="15.75" customHeight="1" x14ac:dyDescent="0.3">
      <c r="A58" s="1" t="s">
        <v>174</v>
      </c>
      <c r="B58" s="1" t="s">
        <v>175</v>
      </c>
      <c r="C58" s="1" t="s">
        <v>176</v>
      </c>
      <c r="D58" s="1" t="s">
        <v>87</v>
      </c>
      <c r="E58" s="1" t="s">
        <v>25</v>
      </c>
      <c r="F58" s="1" t="s">
        <v>26</v>
      </c>
      <c r="G58" s="5">
        <v>45170</v>
      </c>
      <c r="H58" s="6">
        <v>850</v>
      </c>
      <c r="I58" s="6">
        <v>1040</v>
      </c>
      <c r="J58" s="6">
        <v>0</v>
      </c>
      <c r="K58" s="6">
        <v>1040</v>
      </c>
      <c r="L58" s="6">
        <v>1649</v>
      </c>
      <c r="M58" s="6">
        <v>0</v>
      </c>
      <c r="N58" s="6">
        <v>0</v>
      </c>
    </row>
    <row r="59" spans="1:14" ht="15.75" customHeight="1" x14ac:dyDescent="0.3">
      <c r="A59" s="1" t="s">
        <v>177</v>
      </c>
      <c r="B59" s="1" t="s">
        <v>178</v>
      </c>
      <c r="C59" s="1" t="s">
        <v>68</v>
      </c>
      <c r="D59" s="1" t="s">
        <v>48</v>
      </c>
      <c r="E59" s="1" t="s">
        <v>25</v>
      </c>
      <c r="F59" s="1" t="s">
        <v>26</v>
      </c>
      <c r="G59" s="5">
        <v>45505</v>
      </c>
      <c r="H59" s="6">
        <v>825</v>
      </c>
      <c r="I59" s="6">
        <v>1018</v>
      </c>
      <c r="J59" s="6">
        <v>0</v>
      </c>
      <c r="K59" s="6">
        <v>1018</v>
      </c>
      <c r="L59" s="6">
        <v>1237</v>
      </c>
      <c r="M59" s="6">
        <v>0</v>
      </c>
      <c r="N59" s="6">
        <v>0</v>
      </c>
    </row>
    <row r="60" spans="1:14" ht="15.75" customHeight="1" x14ac:dyDescent="0.3">
      <c r="A60" s="1" t="s">
        <v>179</v>
      </c>
      <c r="B60" s="1" t="s">
        <v>216</v>
      </c>
      <c r="C60" s="1" t="s">
        <v>217</v>
      </c>
      <c r="D60" s="1" t="s">
        <v>213</v>
      </c>
      <c r="E60" s="1" t="s">
        <v>49</v>
      </c>
      <c r="F60" s="1" t="s">
        <v>26</v>
      </c>
      <c r="G60" s="5">
        <v>44750</v>
      </c>
      <c r="H60" s="6">
        <v>670</v>
      </c>
      <c r="I60" s="6">
        <v>815</v>
      </c>
      <c r="J60" s="6">
        <v>0</v>
      </c>
      <c r="K60" s="6">
        <v>815</v>
      </c>
      <c r="L60" s="6">
        <v>440</v>
      </c>
      <c r="M60" s="6">
        <v>0</v>
      </c>
      <c r="N60" s="6">
        <v>0</v>
      </c>
    </row>
    <row r="61" spans="1:14" ht="15.75" customHeight="1" x14ac:dyDescent="0.3">
      <c r="A61" s="19" t="s">
        <v>182</v>
      </c>
      <c r="B61" s="17"/>
      <c r="C61" s="17"/>
      <c r="D61" s="17"/>
      <c r="E61" s="17"/>
      <c r="F61" s="17"/>
      <c r="G61" s="17"/>
      <c r="H61" s="7">
        <v>23380</v>
      </c>
      <c r="I61" s="7">
        <v>27884</v>
      </c>
      <c r="J61" s="7">
        <v>0</v>
      </c>
      <c r="K61" s="7">
        <v>27884</v>
      </c>
      <c r="L61" s="7">
        <v>22716</v>
      </c>
      <c r="M61" s="7">
        <v>9764</v>
      </c>
      <c r="N61" s="7">
        <v>1229.5</v>
      </c>
    </row>
    <row r="62" spans="1:14" ht="15.75" customHeight="1" x14ac:dyDescent="0.3"/>
    <row r="63" spans="1:14" ht="15.75" customHeight="1" x14ac:dyDescent="0.3"/>
    <row r="64" spans="1:14" ht="19.5" customHeight="1" x14ac:dyDescent="0.35">
      <c r="A64" s="18" t="s">
        <v>183</v>
      </c>
      <c r="B64" s="17"/>
      <c r="C64" s="17"/>
      <c r="D64" s="17"/>
      <c r="E64" s="17"/>
    </row>
    <row r="65" spans="1:10" ht="15.75" customHeight="1" x14ac:dyDescent="0.3">
      <c r="A65" s="3" t="s">
        <v>4</v>
      </c>
      <c r="B65" s="3" t="s">
        <v>184</v>
      </c>
    </row>
    <row r="66" spans="1:10" ht="15.75" customHeight="1" x14ac:dyDescent="0.3">
      <c r="A66" s="1" t="s">
        <v>185</v>
      </c>
      <c r="B66" s="6">
        <v>49180</v>
      </c>
    </row>
    <row r="67" spans="1:10" ht="15.75" customHeight="1" x14ac:dyDescent="0.3">
      <c r="A67" s="1" t="s">
        <v>14</v>
      </c>
      <c r="B67" s="6">
        <v>47337</v>
      </c>
    </row>
    <row r="68" spans="1:10" ht="15.75" customHeight="1" x14ac:dyDescent="0.3">
      <c r="A68" s="1" t="s">
        <v>186</v>
      </c>
      <c r="B68" s="6">
        <v>55322</v>
      </c>
    </row>
    <row r="69" spans="1:10" ht="15.75" customHeight="1" x14ac:dyDescent="0.3">
      <c r="A69" s="1" t="s">
        <v>187</v>
      </c>
      <c r="B69" s="6">
        <v>0</v>
      </c>
    </row>
    <row r="70" spans="1:10" ht="15.75" customHeight="1" x14ac:dyDescent="0.3">
      <c r="A70" s="1" t="s">
        <v>188</v>
      </c>
      <c r="B70" s="6">
        <v>47368</v>
      </c>
    </row>
    <row r="71" spans="1:10" ht="15.75" customHeight="1" x14ac:dyDescent="0.3">
      <c r="A71" s="1" t="s">
        <v>189</v>
      </c>
      <c r="B71" s="6">
        <v>1169.5</v>
      </c>
    </row>
    <row r="72" spans="1:10" ht="15.75" customHeight="1" x14ac:dyDescent="0.3"/>
    <row r="73" spans="1:10" ht="15.75" customHeight="1" x14ac:dyDescent="0.3"/>
    <row r="74" spans="1:10" ht="19.5" customHeight="1" x14ac:dyDescent="0.35">
      <c r="A74" s="18" t="s">
        <v>190</v>
      </c>
      <c r="B74" s="17"/>
      <c r="C74" s="17"/>
      <c r="D74" s="17"/>
      <c r="E74" s="17"/>
    </row>
    <row r="75" spans="1:10" ht="15.75" customHeight="1" x14ac:dyDescent="0.3">
      <c r="A75" s="19" t="s">
        <v>190</v>
      </c>
      <c r="B75" s="17"/>
      <c r="C75" s="19" t="s">
        <v>191</v>
      </c>
      <c r="D75" s="17"/>
      <c r="E75" s="17"/>
      <c r="F75" s="19" t="s">
        <v>192</v>
      </c>
      <c r="G75" s="17"/>
      <c r="H75" s="19" t="s">
        <v>193</v>
      </c>
      <c r="I75" s="17"/>
      <c r="J75" s="17"/>
    </row>
    <row r="76" spans="1:10" ht="15.75" customHeight="1" x14ac:dyDescent="0.3">
      <c r="A76" s="3" t="s">
        <v>10</v>
      </c>
      <c r="B76" s="3" t="s">
        <v>194</v>
      </c>
      <c r="C76" s="3" t="s">
        <v>195</v>
      </c>
      <c r="D76" s="3" t="s">
        <v>196</v>
      </c>
      <c r="E76" s="3" t="s">
        <v>197</v>
      </c>
      <c r="F76" s="3" t="s">
        <v>17</v>
      </c>
      <c r="G76" s="3" t="s">
        <v>198</v>
      </c>
      <c r="H76" s="3" t="s">
        <v>17</v>
      </c>
      <c r="I76" s="3" t="s">
        <v>198</v>
      </c>
      <c r="J76" s="3" t="s">
        <v>199</v>
      </c>
    </row>
    <row r="77" spans="1:10" ht="15.75" customHeight="1" x14ac:dyDescent="0.3">
      <c r="A77" s="1" t="s">
        <v>25</v>
      </c>
      <c r="B77" s="4">
        <v>15</v>
      </c>
      <c r="C77" s="4">
        <v>0</v>
      </c>
      <c r="D77" s="4">
        <v>15</v>
      </c>
      <c r="E77" s="1" t="s">
        <v>202</v>
      </c>
      <c r="F77" s="4">
        <v>9795</v>
      </c>
      <c r="G77" s="4">
        <v>653</v>
      </c>
      <c r="H77" s="6">
        <v>13195</v>
      </c>
      <c r="I77" s="6">
        <v>879.66666666666663</v>
      </c>
      <c r="J77" s="6">
        <v>1.3471158754466566</v>
      </c>
    </row>
    <row r="78" spans="1:10" ht="15.75" customHeight="1" x14ac:dyDescent="0.3">
      <c r="A78" s="1" t="s">
        <v>30</v>
      </c>
      <c r="B78" s="4">
        <v>27</v>
      </c>
      <c r="C78" s="4">
        <v>1</v>
      </c>
      <c r="D78" s="4">
        <v>26</v>
      </c>
      <c r="E78" s="1" t="s">
        <v>218</v>
      </c>
      <c r="F78" s="4">
        <v>20263</v>
      </c>
      <c r="G78" s="4">
        <v>750.48148148148198</v>
      </c>
      <c r="H78" s="6">
        <v>27010</v>
      </c>
      <c r="I78" s="6">
        <v>1000.3703703703703</v>
      </c>
      <c r="J78" s="6">
        <v>1.3329714257513687</v>
      </c>
    </row>
    <row r="79" spans="1:10" ht="15.75" customHeight="1" x14ac:dyDescent="0.3">
      <c r="A79" s="1" t="s">
        <v>49</v>
      </c>
      <c r="B79" s="4">
        <v>6</v>
      </c>
      <c r="C79" s="4">
        <v>0</v>
      </c>
      <c r="D79" s="4">
        <v>6</v>
      </c>
      <c r="E79" s="1" t="s">
        <v>202</v>
      </c>
      <c r="F79" s="4">
        <v>2343</v>
      </c>
      <c r="G79" s="4">
        <v>390.5</v>
      </c>
      <c r="H79" s="6">
        <v>4100</v>
      </c>
      <c r="I79" s="6">
        <v>683.33333333333326</v>
      </c>
      <c r="J79" s="6">
        <v>1.7498932991890739</v>
      </c>
    </row>
    <row r="80" spans="1:10" ht="15.75" customHeight="1" x14ac:dyDescent="0.3">
      <c r="A80" s="1" t="s">
        <v>69</v>
      </c>
      <c r="B80" s="4">
        <v>3</v>
      </c>
      <c r="C80" s="4">
        <v>0</v>
      </c>
      <c r="D80" s="4">
        <v>3</v>
      </c>
      <c r="E80" s="1" t="s">
        <v>202</v>
      </c>
      <c r="F80" s="4">
        <v>3350</v>
      </c>
      <c r="G80" s="4">
        <v>1116.6666666666699</v>
      </c>
      <c r="H80" s="6">
        <v>3625</v>
      </c>
      <c r="I80" s="6">
        <v>1208.333333333333</v>
      </c>
      <c r="J80" s="6">
        <v>1.0820895522388028</v>
      </c>
    </row>
    <row r="81" spans="1:10" ht="15.75" customHeight="1" x14ac:dyDescent="0.3">
      <c r="A81" s="1" t="s">
        <v>74</v>
      </c>
      <c r="B81" s="4">
        <v>1</v>
      </c>
      <c r="C81" s="4">
        <v>0</v>
      </c>
      <c r="D81" s="4">
        <v>1</v>
      </c>
      <c r="E81" s="1" t="s">
        <v>202</v>
      </c>
      <c r="F81" s="4">
        <v>1100</v>
      </c>
      <c r="G81" s="4">
        <v>1100</v>
      </c>
      <c r="H81" s="6">
        <v>1250</v>
      </c>
      <c r="I81" s="6">
        <v>1250</v>
      </c>
      <c r="J81" s="6">
        <v>1.1363636363636365</v>
      </c>
    </row>
    <row r="82" spans="1:10" ht="15.75" customHeight="1" x14ac:dyDescent="0.3">
      <c r="A82" s="3" t="s">
        <v>203</v>
      </c>
      <c r="B82" s="8">
        <v>52</v>
      </c>
      <c r="C82" s="8">
        <v>1</v>
      </c>
      <c r="D82" s="8">
        <v>51</v>
      </c>
      <c r="E82" s="3" t="s">
        <v>219</v>
      </c>
      <c r="F82" s="8">
        <v>36851</v>
      </c>
      <c r="G82" s="8">
        <v>708.67307692307702</v>
      </c>
      <c r="H82" s="7">
        <v>49180</v>
      </c>
      <c r="I82" s="7">
        <v>945.76923076923072</v>
      </c>
      <c r="J82" s="7">
        <v>1.334563512523405</v>
      </c>
    </row>
    <row r="83" spans="1:10" ht="15.75" customHeight="1" x14ac:dyDescent="0.3"/>
    <row r="84" spans="1:10" ht="15.75" customHeight="1" x14ac:dyDescent="0.3"/>
    <row r="85" spans="1:10" ht="19.5" customHeight="1" x14ac:dyDescent="0.35">
      <c r="A85" s="18" t="s">
        <v>205</v>
      </c>
      <c r="B85" s="17"/>
      <c r="C85" s="17"/>
      <c r="D85" s="17"/>
      <c r="E85" s="17"/>
    </row>
    <row r="86" spans="1:10" ht="15.75" customHeight="1" x14ac:dyDescent="0.3">
      <c r="A86" s="19" t="s">
        <v>205</v>
      </c>
      <c r="B86" s="17"/>
      <c r="C86" s="19" t="s">
        <v>191</v>
      </c>
      <c r="D86" s="17"/>
      <c r="E86" s="17"/>
      <c r="F86" s="19" t="s">
        <v>192</v>
      </c>
      <c r="G86" s="17"/>
      <c r="H86" s="19" t="s">
        <v>193</v>
      </c>
      <c r="I86" s="17"/>
      <c r="J86" s="17"/>
    </row>
    <row r="87" spans="1:10" ht="15.75" customHeight="1" x14ac:dyDescent="0.3">
      <c r="A87" s="3" t="s">
        <v>206</v>
      </c>
      <c r="B87" s="3" t="s">
        <v>194</v>
      </c>
      <c r="C87" s="3" t="s">
        <v>195</v>
      </c>
      <c r="D87" s="3" t="s">
        <v>196</v>
      </c>
      <c r="E87" s="3" t="s">
        <v>197</v>
      </c>
      <c r="F87" s="3" t="s">
        <v>17</v>
      </c>
      <c r="G87" s="3" t="s">
        <v>198</v>
      </c>
      <c r="H87" s="3" t="s">
        <v>17</v>
      </c>
      <c r="I87" s="3" t="s">
        <v>198</v>
      </c>
      <c r="J87" s="3" t="s">
        <v>199</v>
      </c>
    </row>
    <row r="88" spans="1:10" ht="15.75" customHeight="1" x14ac:dyDescent="0.3">
      <c r="A88" s="1" t="s">
        <v>3</v>
      </c>
      <c r="B88" s="4">
        <v>25</v>
      </c>
      <c r="C88" s="4">
        <v>0</v>
      </c>
      <c r="D88" s="4">
        <v>25</v>
      </c>
      <c r="E88" s="1" t="s">
        <v>202</v>
      </c>
      <c r="F88" s="4">
        <v>18333</v>
      </c>
      <c r="G88" s="4">
        <v>733.32</v>
      </c>
      <c r="H88" s="6">
        <v>23785</v>
      </c>
      <c r="I88" s="6">
        <v>951.4</v>
      </c>
      <c r="J88" s="6">
        <v>1.2973872252222767</v>
      </c>
    </row>
    <row r="89" spans="1:10" ht="15.75" customHeight="1" x14ac:dyDescent="0.3">
      <c r="A89" s="1" t="s">
        <v>114</v>
      </c>
      <c r="B89" s="4">
        <v>27</v>
      </c>
      <c r="C89" s="4">
        <v>1</v>
      </c>
      <c r="D89" s="4">
        <v>26</v>
      </c>
      <c r="E89" s="1" t="s">
        <v>218</v>
      </c>
      <c r="F89" s="4">
        <v>18518</v>
      </c>
      <c r="G89" s="4">
        <v>685.85185185185196</v>
      </c>
      <c r="H89" s="6">
        <v>25395</v>
      </c>
      <c r="I89" s="6">
        <v>940.55555555555543</v>
      </c>
      <c r="J89" s="6">
        <v>1.3713683983151528</v>
      </c>
    </row>
    <row r="90" spans="1:10" ht="15.75" customHeight="1" x14ac:dyDescent="0.3">
      <c r="A90" s="3" t="s">
        <v>203</v>
      </c>
      <c r="B90" s="8">
        <v>52</v>
      </c>
      <c r="C90" s="8">
        <v>1</v>
      </c>
      <c r="D90" s="8">
        <v>51</v>
      </c>
      <c r="E90" s="3" t="s">
        <v>219</v>
      </c>
      <c r="F90" s="8">
        <v>36851</v>
      </c>
      <c r="G90" s="8">
        <v>708.67307692307702</v>
      </c>
      <c r="H90" s="7">
        <v>49180</v>
      </c>
      <c r="I90" s="7">
        <v>945.76923076923072</v>
      </c>
      <c r="J90" s="7">
        <v>1.334563512523405</v>
      </c>
    </row>
    <row r="91" spans="1:10" ht="15.75" customHeight="1" x14ac:dyDescent="0.3"/>
    <row r="92" spans="1:10" ht="15.75" customHeight="1" x14ac:dyDescent="0.3"/>
    <row r="93" spans="1:10" ht="15.75" customHeight="1" x14ac:dyDescent="0.3"/>
    <row r="94" spans="1:10" ht="15.75" customHeight="1" x14ac:dyDescent="0.3"/>
    <row r="95" spans="1:10" ht="15.75" customHeight="1" x14ac:dyDescent="0.3"/>
    <row r="96" spans="1:10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mergeCells count="24">
    <mergeCell ref="H75:J75"/>
    <mergeCell ref="A85:E85"/>
    <mergeCell ref="A86:B86"/>
    <mergeCell ref="H86:J86"/>
    <mergeCell ref="A64:E64"/>
    <mergeCell ref="C86:E86"/>
    <mergeCell ref="F86:G86"/>
    <mergeCell ref="A74:E74"/>
    <mergeCell ref="A75:B75"/>
    <mergeCell ref="C75:E75"/>
    <mergeCell ref="F75:G75"/>
    <mergeCell ref="A32:G32"/>
    <mergeCell ref="A33:H33"/>
    <mergeCell ref="I33:K33"/>
    <mergeCell ref="L33:N33"/>
    <mergeCell ref="A61:G61"/>
    <mergeCell ref="B1:D1"/>
    <mergeCell ref="A4:H4"/>
    <mergeCell ref="I4:K4"/>
    <mergeCell ref="L4:N4"/>
    <mergeCell ref="A6:H6"/>
    <mergeCell ref="I6:K6"/>
    <mergeCell ref="L6:N6"/>
    <mergeCell ref="A3:E3"/>
  </mergeCells>
  <pageMargins left="0.7" right="0.7" top="0.75" bottom="0.75" header="0" footer="0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1000"/>
  <sheetViews>
    <sheetView workbookViewId="0"/>
  </sheetViews>
  <sheetFormatPr defaultColWidth="14.44140625" defaultRowHeight="15" customHeight="1" x14ac:dyDescent="0.3"/>
  <cols>
    <col min="1" max="1" width="34.44140625" customWidth="1"/>
    <col min="2" max="8" width="9.44140625" customWidth="1"/>
    <col min="9" max="9" width="11.109375" customWidth="1"/>
    <col min="10" max="11" width="10.33203125" customWidth="1"/>
    <col min="12" max="12" width="9.44140625" customWidth="1"/>
    <col min="13" max="14" width="10.33203125" customWidth="1"/>
    <col min="15" max="26" width="8.6640625" customWidth="1"/>
  </cols>
  <sheetData>
    <row r="1" spans="1:15" ht="17.399999999999999" x14ac:dyDescent="0.3">
      <c r="A1" s="21" t="s">
        <v>220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</row>
    <row r="2" spans="1:15" ht="17.399999999999999" x14ac:dyDescent="0.3">
      <c r="A2" s="21" t="s">
        <v>221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</row>
    <row r="3" spans="1:15" ht="14.4" x14ac:dyDescent="0.3">
      <c r="A3" s="22" t="s">
        <v>222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</row>
    <row r="5" spans="1:15" ht="14.4" x14ac:dyDescent="0.3">
      <c r="A5" s="9"/>
      <c r="B5" s="10" t="s">
        <v>223</v>
      </c>
      <c r="C5" s="10" t="s">
        <v>224</v>
      </c>
      <c r="D5" s="10" t="s">
        <v>225</v>
      </c>
      <c r="E5" s="10" t="s">
        <v>226</v>
      </c>
      <c r="F5" s="10" t="s">
        <v>227</v>
      </c>
      <c r="G5" s="10" t="s">
        <v>228</v>
      </c>
      <c r="H5" s="10" t="s">
        <v>229</v>
      </c>
      <c r="I5" s="10" t="s">
        <v>230</v>
      </c>
      <c r="J5" s="10" t="s">
        <v>231</v>
      </c>
      <c r="K5" s="10" t="s">
        <v>232</v>
      </c>
      <c r="L5" s="10" t="s">
        <v>233</v>
      </c>
      <c r="M5" s="10" t="s">
        <v>234</v>
      </c>
      <c r="N5" s="10" t="s">
        <v>17</v>
      </c>
      <c r="O5" s="1" t="s">
        <v>235</v>
      </c>
    </row>
    <row r="6" spans="1:15" ht="14.4" x14ac:dyDescent="0.3">
      <c r="A6" s="11" t="s">
        <v>236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</row>
    <row r="7" spans="1:15" ht="14.4" x14ac:dyDescent="0.3">
      <c r="A7" s="11" t="s">
        <v>237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3">
        <f t="shared" ref="N7:N16" si="0">(((((((((((B7)+(C7))+(D7))+(E7))+(F7))+(G7))+(H7))+(I7))+(J7))+(K7))+(L7))+(M7)</f>
        <v>0</v>
      </c>
    </row>
    <row r="8" spans="1:15" ht="14.4" x14ac:dyDescent="0.3">
      <c r="A8" s="11" t="s">
        <v>238</v>
      </c>
      <c r="B8" s="13">
        <f>28011.64</f>
        <v>28011.64</v>
      </c>
      <c r="C8" s="13">
        <f>30141.72</f>
        <v>30141.72</v>
      </c>
      <c r="D8" s="13">
        <f>42051.35</f>
        <v>42051.35</v>
      </c>
      <c r="E8" s="13">
        <f>31729.39</f>
        <v>31729.39</v>
      </c>
      <c r="F8" s="13">
        <f>25105.19</f>
        <v>25105.19</v>
      </c>
      <c r="G8" s="13">
        <f>28174.54</f>
        <v>28174.54</v>
      </c>
      <c r="H8" s="13">
        <f>31887.61</f>
        <v>31887.61</v>
      </c>
      <c r="I8" s="13">
        <f>27205.68</f>
        <v>27205.68</v>
      </c>
      <c r="J8" s="13">
        <f>23521.86</f>
        <v>23521.86</v>
      </c>
      <c r="K8" s="13">
        <f>22954.01</f>
        <v>22954.01</v>
      </c>
      <c r="L8" s="13">
        <f>30409.15</f>
        <v>30409.15</v>
      </c>
      <c r="M8" s="13">
        <f>23067.74</f>
        <v>23067.74</v>
      </c>
      <c r="N8" s="13">
        <f t="shared" si="0"/>
        <v>344259.88</v>
      </c>
    </row>
    <row r="9" spans="1:15" ht="14.4" x14ac:dyDescent="0.3">
      <c r="A9" s="11" t="s">
        <v>239</v>
      </c>
      <c r="B9" s="12"/>
      <c r="C9" s="12"/>
      <c r="D9" s="12"/>
      <c r="E9" s="13">
        <f>-1</f>
        <v>-1</v>
      </c>
      <c r="F9" s="12"/>
      <c r="G9" s="12"/>
      <c r="H9" s="13">
        <f>-1165</f>
        <v>-1165</v>
      </c>
      <c r="I9" s="12"/>
      <c r="J9" s="12"/>
      <c r="K9" s="12"/>
      <c r="L9" s="13">
        <f>-874</f>
        <v>-874</v>
      </c>
      <c r="M9" s="12"/>
      <c r="N9" s="13">
        <f t="shared" si="0"/>
        <v>-2040</v>
      </c>
    </row>
    <row r="10" spans="1:15" ht="14.4" x14ac:dyDescent="0.3">
      <c r="A10" s="11" t="s">
        <v>240</v>
      </c>
      <c r="B10" s="14">
        <f t="shared" ref="B10:M10" si="1">((B7)+(B8))+(B9)</f>
        <v>28011.64</v>
      </c>
      <c r="C10" s="14">
        <f t="shared" si="1"/>
        <v>30141.72</v>
      </c>
      <c r="D10" s="14">
        <f t="shared" si="1"/>
        <v>42051.35</v>
      </c>
      <c r="E10" s="14">
        <f t="shared" si="1"/>
        <v>31728.39</v>
      </c>
      <c r="F10" s="14">
        <f t="shared" si="1"/>
        <v>25105.19</v>
      </c>
      <c r="G10" s="14">
        <f t="shared" si="1"/>
        <v>28174.54</v>
      </c>
      <c r="H10" s="14">
        <f t="shared" si="1"/>
        <v>30722.61</v>
      </c>
      <c r="I10" s="14">
        <f t="shared" si="1"/>
        <v>27205.68</v>
      </c>
      <c r="J10" s="14">
        <f t="shared" si="1"/>
        <v>23521.86</v>
      </c>
      <c r="K10" s="14">
        <f t="shared" si="1"/>
        <v>22954.01</v>
      </c>
      <c r="L10" s="14">
        <f t="shared" si="1"/>
        <v>29535.15</v>
      </c>
      <c r="M10" s="14">
        <f t="shared" si="1"/>
        <v>23067.74</v>
      </c>
      <c r="N10" s="14">
        <f t="shared" si="0"/>
        <v>342219.88</v>
      </c>
    </row>
    <row r="11" spans="1:15" ht="14.4" x14ac:dyDescent="0.3">
      <c r="A11" s="11" t="s">
        <v>241</v>
      </c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3">
        <f t="shared" si="0"/>
        <v>0</v>
      </c>
    </row>
    <row r="12" spans="1:15" ht="14.4" x14ac:dyDescent="0.3">
      <c r="A12" s="11" t="s">
        <v>242</v>
      </c>
      <c r="B12" s="13">
        <f>1.64</f>
        <v>1.64</v>
      </c>
      <c r="C12" s="13">
        <f>6.01</f>
        <v>6.01</v>
      </c>
      <c r="D12" s="13">
        <f>11.52</f>
        <v>11.52</v>
      </c>
      <c r="E12" s="13">
        <f>13.88</f>
        <v>13.88</v>
      </c>
      <c r="F12" s="13">
        <f>10.45</f>
        <v>10.45</v>
      </c>
      <c r="G12" s="13">
        <f>6.62</f>
        <v>6.62</v>
      </c>
      <c r="H12" s="13">
        <f>6.92</f>
        <v>6.92</v>
      </c>
      <c r="I12" s="13">
        <f>2.96</f>
        <v>2.96</v>
      </c>
      <c r="J12" s="13">
        <f>3.63</f>
        <v>3.63</v>
      </c>
      <c r="K12" s="13">
        <f>1.77</f>
        <v>1.77</v>
      </c>
      <c r="L12" s="13">
        <f>2.15</f>
        <v>2.15</v>
      </c>
      <c r="M12" s="12"/>
      <c r="N12" s="13">
        <f t="shared" si="0"/>
        <v>67.550000000000011</v>
      </c>
    </row>
    <row r="13" spans="1:15" ht="14.4" x14ac:dyDescent="0.3">
      <c r="A13" s="11" t="s">
        <v>243</v>
      </c>
      <c r="B13" s="14">
        <f t="shared" ref="B13:M13" si="2">(B11)+(B12)</f>
        <v>1.64</v>
      </c>
      <c r="C13" s="14">
        <f t="shared" si="2"/>
        <v>6.01</v>
      </c>
      <c r="D13" s="14">
        <f t="shared" si="2"/>
        <v>11.52</v>
      </c>
      <c r="E13" s="14">
        <f t="shared" si="2"/>
        <v>13.88</v>
      </c>
      <c r="F13" s="14">
        <f t="shared" si="2"/>
        <v>10.45</v>
      </c>
      <c r="G13" s="14">
        <f t="shared" si="2"/>
        <v>6.62</v>
      </c>
      <c r="H13" s="14">
        <f t="shared" si="2"/>
        <v>6.92</v>
      </c>
      <c r="I13" s="14">
        <f t="shared" si="2"/>
        <v>2.96</v>
      </c>
      <c r="J13" s="14">
        <f t="shared" si="2"/>
        <v>3.63</v>
      </c>
      <c r="K13" s="14">
        <f t="shared" si="2"/>
        <v>1.77</v>
      </c>
      <c r="L13" s="14">
        <f t="shared" si="2"/>
        <v>2.15</v>
      </c>
      <c r="M13" s="14">
        <f t="shared" si="2"/>
        <v>0</v>
      </c>
      <c r="N13" s="14">
        <f t="shared" si="0"/>
        <v>67.550000000000011</v>
      </c>
    </row>
    <row r="14" spans="1:15" ht="14.4" x14ac:dyDescent="0.3">
      <c r="A14" s="11" t="s">
        <v>244</v>
      </c>
      <c r="B14" s="12"/>
      <c r="C14" s="12"/>
      <c r="D14" s="12"/>
      <c r="E14" s="12"/>
      <c r="F14" s="12"/>
      <c r="G14" s="12"/>
      <c r="H14" s="12"/>
      <c r="I14" s="12"/>
      <c r="J14" s="12"/>
      <c r="K14" s="13">
        <f>2365</f>
        <v>2365</v>
      </c>
      <c r="L14" s="12"/>
      <c r="M14" s="12"/>
      <c r="N14" s="13">
        <f t="shared" si="0"/>
        <v>2365</v>
      </c>
    </row>
    <row r="15" spans="1:15" ht="14.4" x14ac:dyDescent="0.3">
      <c r="A15" s="11" t="s">
        <v>245</v>
      </c>
      <c r="B15" s="14">
        <f t="shared" ref="B15:M15" si="3">((B10)+(B13))+(B14)</f>
        <v>28013.279999999999</v>
      </c>
      <c r="C15" s="14">
        <f t="shared" si="3"/>
        <v>30147.73</v>
      </c>
      <c r="D15" s="14">
        <f t="shared" si="3"/>
        <v>42062.869999999995</v>
      </c>
      <c r="E15" s="14">
        <f t="shared" si="3"/>
        <v>31742.27</v>
      </c>
      <c r="F15" s="14">
        <f t="shared" si="3"/>
        <v>25115.64</v>
      </c>
      <c r="G15" s="14">
        <f t="shared" si="3"/>
        <v>28181.16</v>
      </c>
      <c r="H15" s="14">
        <f t="shared" si="3"/>
        <v>30729.53</v>
      </c>
      <c r="I15" s="14">
        <f t="shared" si="3"/>
        <v>27208.639999999999</v>
      </c>
      <c r="J15" s="14">
        <f t="shared" si="3"/>
        <v>23525.49</v>
      </c>
      <c r="K15" s="14">
        <f t="shared" si="3"/>
        <v>25320.78</v>
      </c>
      <c r="L15" s="14">
        <f t="shared" si="3"/>
        <v>29537.300000000003</v>
      </c>
      <c r="M15" s="14">
        <f t="shared" si="3"/>
        <v>23067.74</v>
      </c>
      <c r="N15" s="14">
        <f t="shared" si="0"/>
        <v>344652.43</v>
      </c>
      <c r="O15" s="15"/>
    </row>
    <row r="16" spans="1:15" ht="14.4" x14ac:dyDescent="0.3">
      <c r="A16" s="11" t="s">
        <v>246</v>
      </c>
      <c r="B16" s="14">
        <f t="shared" ref="B16:M16" si="4">(B15)-(0)</f>
        <v>28013.279999999999</v>
      </c>
      <c r="C16" s="14">
        <f t="shared" si="4"/>
        <v>30147.73</v>
      </c>
      <c r="D16" s="14">
        <f t="shared" si="4"/>
        <v>42062.869999999995</v>
      </c>
      <c r="E16" s="14">
        <f t="shared" si="4"/>
        <v>31742.27</v>
      </c>
      <c r="F16" s="14">
        <f t="shared" si="4"/>
        <v>25115.64</v>
      </c>
      <c r="G16" s="14">
        <f t="shared" si="4"/>
        <v>28181.16</v>
      </c>
      <c r="H16" s="14">
        <f t="shared" si="4"/>
        <v>30729.53</v>
      </c>
      <c r="I16" s="14">
        <f t="shared" si="4"/>
        <v>27208.639999999999</v>
      </c>
      <c r="J16" s="14">
        <f t="shared" si="4"/>
        <v>23525.49</v>
      </c>
      <c r="K16" s="14">
        <f t="shared" si="4"/>
        <v>25320.78</v>
      </c>
      <c r="L16" s="14">
        <f t="shared" si="4"/>
        <v>29537.300000000003</v>
      </c>
      <c r="M16" s="14">
        <f t="shared" si="4"/>
        <v>23067.74</v>
      </c>
      <c r="N16" s="14">
        <f t="shared" si="0"/>
        <v>344652.43</v>
      </c>
    </row>
    <row r="17" spans="1:14" ht="14.4" x14ac:dyDescent="0.3">
      <c r="A17" s="11" t="s">
        <v>247</v>
      </c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</row>
    <row r="18" spans="1:14" ht="14.4" x14ac:dyDescent="0.3">
      <c r="A18" s="11" t="s">
        <v>248</v>
      </c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3">
        <f>27.95</f>
        <v>27.95</v>
      </c>
      <c r="M18" s="12"/>
      <c r="N18" s="13">
        <f t="shared" ref="N18:N49" si="5">(((((((((((B18)+(C18))+(D18))+(E18))+(F18))+(G18))+(H18))+(I18))+(J18))+(K18))+(L18))+(M18)</f>
        <v>27.95</v>
      </c>
    </row>
    <row r="19" spans="1:14" ht="14.4" x14ac:dyDescent="0.3">
      <c r="A19" s="11" t="s">
        <v>249</v>
      </c>
      <c r="B19" s="13">
        <f>174.24</f>
        <v>174.24</v>
      </c>
      <c r="C19" s="12"/>
      <c r="D19" s="12"/>
      <c r="E19" s="12"/>
      <c r="F19" s="12"/>
      <c r="G19" s="12"/>
      <c r="H19" s="12"/>
      <c r="I19" s="12"/>
      <c r="J19" s="12"/>
      <c r="K19" s="13">
        <f>219</f>
        <v>219</v>
      </c>
      <c r="L19" s="12"/>
      <c r="M19" s="13">
        <f>438</f>
        <v>438</v>
      </c>
      <c r="N19" s="13">
        <f t="shared" si="5"/>
        <v>831.24</v>
      </c>
    </row>
    <row r="20" spans="1:14" ht="14.4" x14ac:dyDescent="0.3">
      <c r="A20" s="11" t="s">
        <v>250</v>
      </c>
      <c r="B20" s="14">
        <f t="shared" ref="B20:M20" si="6">(B18)+(B19)</f>
        <v>174.24</v>
      </c>
      <c r="C20" s="14">
        <f t="shared" si="6"/>
        <v>0</v>
      </c>
      <c r="D20" s="14">
        <f t="shared" si="6"/>
        <v>0</v>
      </c>
      <c r="E20" s="14">
        <f t="shared" si="6"/>
        <v>0</v>
      </c>
      <c r="F20" s="14">
        <f t="shared" si="6"/>
        <v>0</v>
      </c>
      <c r="G20" s="14">
        <f t="shared" si="6"/>
        <v>0</v>
      </c>
      <c r="H20" s="14">
        <f t="shared" si="6"/>
        <v>0</v>
      </c>
      <c r="I20" s="14">
        <f t="shared" si="6"/>
        <v>0</v>
      </c>
      <c r="J20" s="14">
        <f t="shared" si="6"/>
        <v>0</v>
      </c>
      <c r="K20" s="14">
        <f t="shared" si="6"/>
        <v>219</v>
      </c>
      <c r="L20" s="14">
        <f t="shared" si="6"/>
        <v>27.95</v>
      </c>
      <c r="M20" s="14">
        <f t="shared" si="6"/>
        <v>438</v>
      </c>
      <c r="N20" s="14">
        <f t="shared" si="5"/>
        <v>859.19</v>
      </c>
    </row>
    <row r="21" spans="1:14" ht="15.75" customHeight="1" x14ac:dyDescent="0.3">
      <c r="A21" s="11" t="s">
        <v>251</v>
      </c>
      <c r="B21" s="12"/>
      <c r="C21" s="12"/>
      <c r="D21" s="12"/>
      <c r="E21" s="12"/>
      <c r="F21" s="13">
        <f>230</f>
        <v>230</v>
      </c>
      <c r="G21" s="12"/>
      <c r="H21" s="12"/>
      <c r="I21" s="12"/>
      <c r="J21" s="12"/>
      <c r="K21" s="12"/>
      <c r="L21" s="12"/>
      <c r="M21" s="12"/>
      <c r="N21" s="13">
        <f t="shared" si="5"/>
        <v>230</v>
      </c>
    </row>
    <row r="22" spans="1:14" ht="15.75" customHeight="1" x14ac:dyDescent="0.3">
      <c r="A22" s="11" t="s">
        <v>252</v>
      </c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3">
        <f>38</f>
        <v>38</v>
      </c>
      <c r="M22" s="12"/>
      <c r="N22" s="13">
        <f t="shared" si="5"/>
        <v>38</v>
      </c>
    </row>
    <row r="23" spans="1:14" ht="15.75" customHeight="1" x14ac:dyDescent="0.3">
      <c r="A23" s="11" t="s">
        <v>253</v>
      </c>
      <c r="B23" s="12"/>
      <c r="C23" s="12"/>
      <c r="D23" s="13">
        <f>240.19</f>
        <v>240.19</v>
      </c>
      <c r="E23" s="12"/>
      <c r="F23" s="13">
        <f>219</f>
        <v>219</v>
      </c>
      <c r="G23" s="12"/>
      <c r="H23" s="13">
        <f>438</f>
        <v>438</v>
      </c>
      <c r="I23" s="13">
        <f t="shared" ref="I23:J23" si="7">219</f>
        <v>219</v>
      </c>
      <c r="J23" s="13">
        <f t="shared" si="7"/>
        <v>219</v>
      </c>
      <c r="K23" s="12"/>
      <c r="L23" s="12"/>
      <c r="M23" s="12"/>
      <c r="N23" s="13">
        <f t="shared" si="5"/>
        <v>1335.19</v>
      </c>
    </row>
    <row r="24" spans="1:14" ht="15.75" customHeight="1" x14ac:dyDescent="0.3">
      <c r="A24" s="11" t="s">
        <v>254</v>
      </c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3">
        <f t="shared" si="5"/>
        <v>0</v>
      </c>
    </row>
    <row r="25" spans="1:14" ht="15.75" customHeight="1" x14ac:dyDescent="0.3">
      <c r="A25" s="11" t="s">
        <v>255</v>
      </c>
      <c r="B25" s="13">
        <f>4944.03</f>
        <v>4944.03</v>
      </c>
      <c r="C25" s="13">
        <f>1914.4</f>
        <v>1914.4</v>
      </c>
      <c r="D25" s="13">
        <f>1898.72</f>
        <v>1898.72</v>
      </c>
      <c r="E25" s="13">
        <f>1785.92</f>
        <v>1785.92</v>
      </c>
      <c r="F25" s="13">
        <f>1916.72</f>
        <v>1916.72</v>
      </c>
      <c r="G25" s="13">
        <f>1838</f>
        <v>1838</v>
      </c>
      <c r="H25" s="13">
        <f>2035.84</f>
        <v>2035.84</v>
      </c>
      <c r="I25" s="13">
        <f>1916.24</f>
        <v>1916.24</v>
      </c>
      <c r="J25" s="13">
        <f>2029.04</f>
        <v>2029.04</v>
      </c>
      <c r="K25" s="13">
        <f>1688.8</f>
        <v>1688.8</v>
      </c>
      <c r="L25" s="13">
        <f>1453.2</f>
        <v>1453.2</v>
      </c>
      <c r="M25" s="13">
        <f>5166-3321</f>
        <v>1845</v>
      </c>
      <c r="N25" s="13">
        <f t="shared" si="5"/>
        <v>25265.91</v>
      </c>
    </row>
    <row r="26" spans="1:14" ht="15.75" customHeight="1" x14ac:dyDescent="0.3">
      <c r="A26" s="11" t="s">
        <v>256</v>
      </c>
      <c r="B26" s="13"/>
      <c r="C26" s="12"/>
      <c r="D26" s="12"/>
      <c r="E26" s="12"/>
      <c r="F26" s="13">
        <f>530</f>
        <v>530</v>
      </c>
      <c r="G26" s="12"/>
      <c r="H26" s="12"/>
      <c r="I26" s="12"/>
      <c r="J26" s="12"/>
      <c r="K26" s="12"/>
      <c r="L26" s="12"/>
      <c r="M26" s="13">
        <f>2200</f>
        <v>2200</v>
      </c>
      <c r="N26" s="13">
        <f t="shared" si="5"/>
        <v>2730</v>
      </c>
    </row>
    <row r="27" spans="1:14" ht="15.75" customHeight="1" x14ac:dyDescent="0.3">
      <c r="A27" s="11" t="s">
        <v>257</v>
      </c>
      <c r="B27" s="14">
        <f t="shared" ref="B27:M27" si="8">((B24)+(B25))+(B26)</f>
        <v>4944.03</v>
      </c>
      <c r="C27" s="14">
        <f t="shared" si="8"/>
        <v>1914.4</v>
      </c>
      <c r="D27" s="14">
        <f t="shared" si="8"/>
        <v>1898.72</v>
      </c>
      <c r="E27" s="14">
        <f t="shared" si="8"/>
        <v>1785.92</v>
      </c>
      <c r="F27" s="14">
        <f t="shared" si="8"/>
        <v>2446.7200000000003</v>
      </c>
      <c r="G27" s="14">
        <f t="shared" si="8"/>
        <v>1838</v>
      </c>
      <c r="H27" s="14">
        <f t="shared" si="8"/>
        <v>2035.84</v>
      </c>
      <c r="I27" s="14">
        <f t="shared" si="8"/>
        <v>1916.24</v>
      </c>
      <c r="J27" s="14">
        <f t="shared" si="8"/>
        <v>2029.04</v>
      </c>
      <c r="K27" s="14">
        <f t="shared" si="8"/>
        <v>1688.8</v>
      </c>
      <c r="L27" s="14">
        <f t="shared" si="8"/>
        <v>1453.2</v>
      </c>
      <c r="M27" s="14">
        <f t="shared" si="8"/>
        <v>4045</v>
      </c>
      <c r="N27" s="14">
        <f t="shared" si="5"/>
        <v>27995.910000000003</v>
      </c>
    </row>
    <row r="28" spans="1:14" ht="15.75" customHeight="1" x14ac:dyDescent="0.3">
      <c r="A28" s="11" t="s">
        <v>258</v>
      </c>
      <c r="B28" s="13">
        <f>1331.09</f>
        <v>1331.09</v>
      </c>
      <c r="C28" s="13">
        <f>1505.49</f>
        <v>1505.49</v>
      </c>
      <c r="D28" s="13">
        <f>1620</f>
        <v>1620</v>
      </c>
      <c r="E28" s="13">
        <f>1847.34</f>
        <v>1847.34</v>
      </c>
      <c r="F28" s="13">
        <f>6792.38</f>
        <v>6792.38</v>
      </c>
      <c r="G28" s="13">
        <f>1182.09</f>
        <v>1182.0899999999999</v>
      </c>
      <c r="H28" s="13">
        <f>2887.52</f>
        <v>2887.52</v>
      </c>
      <c r="I28" s="13">
        <f>1143.54</f>
        <v>1143.54</v>
      </c>
      <c r="J28" s="13">
        <f>1660.18</f>
        <v>1660.18</v>
      </c>
      <c r="K28" s="13">
        <f>2413</f>
        <v>2413</v>
      </c>
      <c r="L28" s="13">
        <f>6900.48-5520</f>
        <v>1380.4799999999996</v>
      </c>
      <c r="M28" s="13">
        <f>3461</f>
        <v>3461</v>
      </c>
      <c r="N28" s="13">
        <f t="shared" si="5"/>
        <v>27224.11</v>
      </c>
    </row>
    <row r="29" spans="1:14" ht="15.75" customHeight="1" x14ac:dyDescent="0.3">
      <c r="A29" s="11" t="s">
        <v>259</v>
      </c>
      <c r="B29" s="12"/>
      <c r="C29" s="12"/>
      <c r="D29" s="13">
        <f>240</f>
        <v>240</v>
      </c>
      <c r="E29" s="12"/>
      <c r="F29" s="12"/>
      <c r="G29" s="12"/>
      <c r="H29" s="12"/>
      <c r="I29" s="12"/>
      <c r="J29" s="12"/>
      <c r="K29" s="12"/>
      <c r="L29" s="12"/>
      <c r="M29" s="12"/>
      <c r="N29" s="13">
        <f t="shared" si="5"/>
        <v>240</v>
      </c>
    </row>
    <row r="30" spans="1:14" ht="15.75" customHeight="1" x14ac:dyDescent="0.3">
      <c r="A30" s="11" t="s">
        <v>260</v>
      </c>
      <c r="B30" s="13">
        <f>93.04</f>
        <v>93.04</v>
      </c>
      <c r="C30" s="12"/>
      <c r="D30" s="13">
        <f>163.97</f>
        <v>163.97</v>
      </c>
      <c r="E30" s="12"/>
      <c r="F30" s="12"/>
      <c r="G30" s="12"/>
      <c r="H30" s="12"/>
      <c r="I30" s="12"/>
      <c r="J30" s="12"/>
      <c r="K30" s="12"/>
      <c r="L30" s="12"/>
      <c r="M30" s="12"/>
      <c r="N30" s="13">
        <f t="shared" si="5"/>
        <v>257.01</v>
      </c>
    </row>
    <row r="31" spans="1:14" ht="15.75" customHeight="1" x14ac:dyDescent="0.3">
      <c r="A31" s="11" t="s">
        <v>261</v>
      </c>
      <c r="B31" s="12"/>
      <c r="C31" s="13">
        <f>238.34</f>
        <v>238.34</v>
      </c>
      <c r="D31" s="12"/>
      <c r="E31" s="12"/>
      <c r="F31" s="13">
        <f>608.39</f>
        <v>608.39</v>
      </c>
      <c r="G31" s="12"/>
      <c r="H31" s="12"/>
      <c r="I31" s="12"/>
      <c r="J31" s="12"/>
      <c r="K31" s="12"/>
      <c r="L31" s="13">
        <f>227.86</f>
        <v>227.86</v>
      </c>
      <c r="M31" s="13">
        <f>209.25</f>
        <v>209.25</v>
      </c>
      <c r="N31" s="13">
        <f t="shared" si="5"/>
        <v>1283.8400000000001</v>
      </c>
    </row>
    <row r="32" spans="1:14" ht="15.75" customHeight="1" x14ac:dyDescent="0.3">
      <c r="A32" s="11" t="s">
        <v>262</v>
      </c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3">
        <f t="shared" si="5"/>
        <v>0</v>
      </c>
    </row>
    <row r="33" spans="1:14" ht="15.75" customHeight="1" x14ac:dyDescent="0.3">
      <c r="A33" s="11" t="s">
        <v>263</v>
      </c>
      <c r="B33" s="13">
        <f>1358.77</f>
        <v>1358.77</v>
      </c>
      <c r="C33" s="12"/>
      <c r="D33" s="12"/>
      <c r="E33" s="13">
        <f>1476.79</f>
        <v>1476.79</v>
      </c>
      <c r="F33" s="13">
        <f>2026.13</f>
        <v>2026.13</v>
      </c>
      <c r="G33" s="13">
        <f>1889.14</f>
        <v>1889.14</v>
      </c>
      <c r="H33" s="13">
        <f>1972.56</f>
        <v>1972.56</v>
      </c>
      <c r="I33" s="13">
        <f>1401.16</f>
        <v>1401.16</v>
      </c>
      <c r="J33" s="13">
        <f>3073.38</f>
        <v>3073.38</v>
      </c>
      <c r="K33" s="13">
        <f>3418.32</f>
        <v>3418.32</v>
      </c>
      <c r="L33" s="13">
        <f>5040.95</f>
        <v>5040.95</v>
      </c>
      <c r="M33" s="13">
        <f>4492.55</f>
        <v>4492.55</v>
      </c>
      <c r="N33" s="13">
        <f t="shared" si="5"/>
        <v>26149.75</v>
      </c>
    </row>
    <row r="34" spans="1:14" ht="15.75" customHeight="1" x14ac:dyDescent="0.3">
      <c r="A34" s="11" t="s">
        <v>264</v>
      </c>
      <c r="B34" s="13">
        <f>249.26</f>
        <v>249.26</v>
      </c>
      <c r="C34" s="13">
        <f>1871.38</f>
        <v>1871.38</v>
      </c>
      <c r="D34" s="13">
        <f>211.5</f>
        <v>211.5</v>
      </c>
      <c r="E34" s="13">
        <f>191</f>
        <v>191</v>
      </c>
      <c r="F34" s="13">
        <f>372.99</f>
        <v>372.99</v>
      </c>
      <c r="G34" s="13">
        <f>15.12</f>
        <v>15.12</v>
      </c>
      <c r="H34" s="13">
        <f>239.11</f>
        <v>239.11</v>
      </c>
      <c r="I34" s="13">
        <f>210.01</f>
        <v>210.01</v>
      </c>
      <c r="J34" s="13">
        <f>391.83</f>
        <v>391.83</v>
      </c>
      <c r="K34" s="13">
        <f>290.25</f>
        <v>290.25</v>
      </c>
      <c r="L34" s="13">
        <f>355.74</f>
        <v>355.74</v>
      </c>
      <c r="M34" s="13">
        <f>328.8</f>
        <v>328.8</v>
      </c>
      <c r="N34" s="13">
        <f t="shared" si="5"/>
        <v>4726.99</v>
      </c>
    </row>
    <row r="35" spans="1:14" ht="15.75" customHeight="1" x14ac:dyDescent="0.3">
      <c r="A35" s="11" t="s">
        <v>265</v>
      </c>
      <c r="B35" s="13">
        <f>1778.9</f>
        <v>1778.9</v>
      </c>
      <c r="C35" s="13">
        <f>1921.74</f>
        <v>1921.74</v>
      </c>
      <c r="D35" s="13">
        <f>1953.98</f>
        <v>1953.98</v>
      </c>
      <c r="E35" s="13">
        <f>1618.69</f>
        <v>1618.69</v>
      </c>
      <c r="F35" s="13">
        <f>1967.4</f>
        <v>1967.4</v>
      </c>
      <c r="G35" s="13">
        <f>1864.23</f>
        <v>1864.23</v>
      </c>
      <c r="H35" s="13">
        <f>1796.53</f>
        <v>1796.53</v>
      </c>
      <c r="I35" s="13">
        <f>1638.56</f>
        <v>1638.56</v>
      </c>
      <c r="J35" s="13">
        <f>1651.45</f>
        <v>1651.45</v>
      </c>
      <c r="K35" s="13">
        <f>1577.3</f>
        <v>1577.3</v>
      </c>
      <c r="L35" s="13">
        <f>1543.31</f>
        <v>1543.31</v>
      </c>
      <c r="M35" s="13">
        <f>1514.29</f>
        <v>1514.29</v>
      </c>
      <c r="N35" s="13">
        <f t="shared" si="5"/>
        <v>20826.380000000005</v>
      </c>
    </row>
    <row r="36" spans="1:14" ht="15.75" customHeight="1" x14ac:dyDescent="0.3">
      <c r="A36" s="11" t="s">
        <v>266</v>
      </c>
      <c r="B36" s="12"/>
      <c r="C36" s="13">
        <f>262.68</f>
        <v>262.68</v>
      </c>
      <c r="D36" s="13">
        <f>114.98</f>
        <v>114.98</v>
      </c>
      <c r="E36" s="12"/>
      <c r="F36" s="12"/>
      <c r="G36" s="12"/>
      <c r="H36" s="12"/>
      <c r="I36" s="12"/>
      <c r="J36" s="12"/>
      <c r="K36" s="12"/>
      <c r="L36" s="12"/>
      <c r="M36" s="12"/>
      <c r="N36" s="13">
        <f t="shared" si="5"/>
        <v>377.66</v>
      </c>
    </row>
    <row r="37" spans="1:14" ht="15.75" customHeight="1" x14ac:dyDescent="0.3">
      <c r="A37" s="11" t="s">
        <v>267</v>
      </c>
      <c r="B37" s="12"/>
      <c r="C37" s="12"/>
      <c r="D37" s="13">
        <f>1591.66</f>
        <v>1591.66</v>
      </c>
      <c r="E37" s="12"/>
      <c r="F37" s="13">
        <f>2333.39</f>
        <v>2333.39</v>
      </c>
      <c r="G37" s="12"/>
      <c r="H37" s="13">
        <f>1310.53</f>
        <v>1310.53</v>
      </c>
      <c r="I37" s="13">
        <f>2616.5</f>
        <v>2616.5</v>
      </c>
      <c r="J37" s="13">
        <f>2643.8</f>
        <v>2643.8</v>
      </c>
      <c r="K37" s="13">
        <f>1536.46</f>
        <v>1536.46</v>
      </c>
      <c r="L37" s="12"/>
      <c r="M37" s="12"/>
      <c r="N37" s="13">
        <f t="shared" si="5"/>
        <v>12032.34</v>
      </c>
    </row>
    <row r="38" spans="1:14" ht="15.75" customHeight="1" x14ac:dyDescent="0.3">
      <c r="A38" s="11" t="s">
        <v>268</v>
      </c>
      <c r="B38" s="14">
        <f t="shared" ref="B38:M38" si="9">(((((B32)+(B33))+(B34))+(B35))+(B36))+(B37)</f>
        <v>3386.9300000000003</v>
      </c>
      <c r="C38" s="14">
        <f t="shared" si="9"/>
        <v>4055.7999999999997</v>
      </c>
      <c r="D38" s="14">
        <f t="shared" si="9"/>
        <v>3872.12</v>
      </c>
      <c r="E38" s="14">
        <f t="shared" si="9"/>
        <v>3286.48</v>
      </c>
      <c r="F38" s="14">
        <f t="shared" si="9"/>
        <v>6699.91</v>
      </c>
      <c r="G38" s="14">
        <f t="shared" si="9"/>
        <v>3768.49</v>
      </c>
      <c r="H38" s="14">
        <f t="shared" si="9"/>
        <v>5318.73</v>
      </c>
      <c r="I38" s="14">
        <f t="shared" si="9"/>
        <v>5866.23</v>
      </c>
      <c r="J38" s="14">
        <f t="shared" si="9"/>
        <v>7760.46</v>
      </c>
      <c r="K38" s="14">
        <f t="shared" si="9"/>
        <v>6822.33</v>
      </c>
      <c r="L38" s="14">
        <f t="shared" si="9"/>
        <v>6940</v>
      </c>
      <c r="M38" s="14">
        <f t="shared" si="9"/>
        <v>6335.64</v>
      </c>
      <c r="N38" s="14">
        <f t="shared" si="5"/>
        <v>64113.119999999995</v>
      </c>
    </row>
    <row r="39" spans="1:14" ht="15.75" customHeight="1" x14ac:dyDescent="0.3">
      <c r="A39" s="11" t="s">
        <v>269</v>
      </c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3">
        <f t="shared" si="5"/>
        <v>0</v>
      </c>
    </row>
    <row r="40" spans="1:14" ht="15.75" customHeight="1" x14ac:dyDescent="0.3">
      <c r="A40" s="11" t="s">
        <v>270</v>
      </c>
      <c r="B40" s="13">
        <f>517.5</f>
        <v>517.5</v>
      </c>
      <c r="C40" s="13">
        <f>414</f>
        <v>414</v>
      </c>
      <c r="D40" s="13">
        <f>549</f>
        <v>549</v>
      </c>
      <c r="E40" s="13">
        <f>517.5</f>
        <v>517.5</v>
      </c>
      <c r="F40" s="13">
        <f>414</f>
        <v>414</v>
      </c>
      <c r="G40" s="13">
        <f>517.5</f>
        <v>517.5</v>
      </c>
      <c r="H40" s="13">
        <f>414</f>
        <v>414</v>
      </c>
      <c r="I40" s="13">
        <f>517.5</f>
        <v>517.5</v>
      </c>
      <c r="J40" s="13">
        <f>414</f>
        <v>414</v>
      </c>
      <c r="K40" s="13">
        <f>465.76</f>
        <v>465.76</v>
      </c>
      <c r="L40" s="13">
        <f>497.26</f>
        <v>497.26</v>
      </c>
      <c r="M40" s="13">
        <f>470</f>
        <v>470</v>
      </c>
      <c r="N40" s="13">
        <f t="shared" si="5"/>
        <v>5708.02</v>
      </c>
    </row>
    <row r="41" spans="1:14" ht="15.75" customHeight="1" x14ac:dyDescent="0.3">
      <c r="A41" s="11" t="s">
        <v>271</v>
      </c>
      <c r="B41" s="13">
        <f>690</f>
        <v>690</v>
      </c>
      <c r="C41" s="13">
        <f>660</f>
        <v>660</v>
      </c>
      <c r="D41" s="13">
        <f>495</f>
        <v>495</v>
      </c>
      <c r="E41" s="13">
        <f>1575</f>
        <v>1575</v>
      </c>
      <c r="F41" s="13">
        <f>660</f>
        <v>660</v>
      </c>
      <c r="G41" s="13">
        <f>495</f>
        <v>495</v>
      </c>
      <c r="H41" s="13">
        <f>765</f>
        <v>765</v>
      </c>
      <c r="I41" s="12"/>
      <c r="J41" s="13">
        <f>360</f>
        <v>360</v>
      </c>
      <c r="K41" s="13">
        <f>325</f>
        <v>325</v>
      </c>
      <c r="L41" s="12"/>
      <c r="M41" s="13">
        <f>550</f>
        <v>550</v>
      </c>
      <c r="N41" s="13">
        <f t="shared" si="5"/>
        <v>6575</v>
      </c>
    </row>
    <row r="42" spans="1:14" ht="15.75" customHeight="1" x14ac:dyDescent="0.3">
      <c r="A42" s="11" t="s">
        <v>272</v>
      </c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3">
        <f>1250</f>
        <v>1250</v>
      </c>
      <c r="M42" s="13">
        <f>525</f>
        <v>525</v>
      </c>
      <c r="N42" s="13">
        <f t="shared" si="5"/>
        <v>1775</v>
      </c>
    </row>
    <row r="43" spans="1:14" ht="15.75" customHeight="1" x14ac:dyDescent="0.3">
      <c r="A43" s="11" t="s">
        <v>273</v>
      </c>
      <c r="B43" s="12"/>
      <c r="C43" s="12"/>
      <c r="D43" s="13">
        <f>301.13</f>
        <v>301.13</v>
      </c>
      <c r="E43" s="12"/>
      <c r="F43" s="12"/>
      <c r="G43" s="12"/>
      <c r="H43" s="12"/>
      <c r="I43" s="12"/>
      <c r="J43" s="13">
        <f>301.13</f>
        <v>301.13</v>
      </c>
      <c r="K43" s="12"/>
      <c r="L43" s="12"/>
      <c r="M43" s="12"/>
      <c r="N43" s="13">
        <f t="shared" si="5"/>
        <v>602.26</v>
      </c>
    </row>
    <row r="44" spans="1:14" ht="15.75" customHeight="1" x14ac:dyDescent="0.3">
      <c r="A44" s="11" t="s">
        <v>274</v>
      </c>
      <c r="B44" s="14">
        <f t="shared" ref="B44:M44" si="10">((((B39)+(B40))+(B41))+(B42))+(B43)</f>
        <v>1207.5</v>
      </c>
      <c r="C44" s="14">
        <f t="shared" si="10"/>
        <v>1074</v>
      </c>
      <c r="D44" s="14">
        <f t="shared" si="10"/>
        <v>1345.13</v>
      </c>
      <c r="E44" s="14">
        <f t="shared" si="10"/>
        <v>2092.5</v>
      </c>
      <c r="F44" s="14">
        <f t="shared" si="10"/>
        <v>1074</v>
      </c>
      <c r="G44" s="14">
        <f t="shared" si="10"/>
        <v>1012.5</v>
      </c>
      <c r="H44" s="14">
        <f t="shared" si="10"/>
        <v>1179</v>
      </c>
      <c r="I44" s="14">
        <f t="shared" si="10"/>
        <v>517.5</v>
      </c>
      <c r="J44" s="14">
        <f t="shared" si="10"/>
        <v>1075.1300000000001</v>
      </c>
      <c r="K44" s="14">
        <f t="shared" si="10"/>
        <v>790.76</v>
      </c>
      <c r="L44" s="14">
        <f t="shared" si="10"/>
        <v>1747.26</v>
      </c>
      <c r="M44" s="14">
        <f t="shared" si="10"/>
        <v>1545</v>
      </c>
      <c r="N44" s="14">
        <f t="shared" si="5"/>
        <v>14660.280000000002</v>
      </c>
    </row>
    <row r="45" spans="1:14" ht="15.75" customHeight="1" x14ac:dyDescent="0.3">
      <c r="A45" s="11" t="s">
        <v>275</v>
      </c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3">
        <f t="shared" si="5"/>
        <v>0</v>
      </c>
    </row>
    <row r="46" spans="1:14" ht="15.75" customHeight="1" x14ac:dyDescent="0.3">
      <c r="A46" s="11" t="s">
        <v>276</v>
      </c>
      <c r="B46" s="12"/>
      <c r="C46" s="13"/>
      <c r="D46" s="13"/>
      <c r="E46" s="12"/>
      <c r="F46" s="12"/>
      <c r="G46" s="12"/>
      <c r="H46" s="12"/>
      <c r="I46" s="12"/>
      <c r="J46" s="13">
        <f>12410</f>
        <v>12410</v>
      </c>
      <c r="K46" s="13">
        <f>12408</f>
        <v>12408</v>
      </c>
      <c r="L46" s="13">
        <f>-13238.53</f>
        <v>-13238.53</v>
      </c>
      <c r="M46" s="12"/>
      <c r="N46" s="13">
        <f t="shared" si="5"/>
        <v>11579.47</v>
      </c>
    </row>
    <row r="47" spans="1:14" ht="15.75" customHeight="1" x14ac:dyDescent="0.3">
      <c r="A47" s="11" t="s">
        <v>277</v>
      </c>
      <c r="B47" s="12"/>
      <c r="C47" s="12"/>
      <c r="D47" s="12"/>
      <c r="E47" s="12"/>
      <c r="F47" s="12"/>
      <c r="G47" s="12"/>
      <c r="H47" s="12"/>
      <c r="I47" s="13">
        <f>23853</f>
        <v>23853</v>
      </c>
      <c r="J47" s="12"/>
      <c r="K47" s="12"/>
      <c r="L47" s="12"/>
      <c r="M47" s="12"/>
      <c r="N47" s="13">
        <f t="shared" si="5"/>
        <v>23853</v>
      </c>
    </row>
    <row r="48" spans="1:14" ht="15.75" customHeight="1" x14ac:dyDescent="0.3">
      <c r="A48" s="11" t="s">
        <v>278</v>
      </c>
      <c r="B48" s="14">
        <f t="shared" ref="B48:M48" si="11">((B45)+(B46))+(B47)</f>
        <v>0</v>
      </c>
      <c r="C48" s="14">
        <f t="shared" si="11"/>
        <v>0</v>
      </c>
      <c r="D48" s="14">
        <f t="shared" si="11"/>
        <v>0</v>
      </c>
      <c r="E48" s="14">
        <f t="shared" si="11"/>
        <v>0</v>
      </c>
      <c r="F48" s="14">
        <f t="shared" si="11"/>
        <v>0</v>
      </c>
      <c r="G48" s="14">
        <f t="shared" si="11"/>
        <v>0</v>
      </c>
      <c r="H48" s="14">
        <f t="shared" si="11"/>
        <v>0</v>
      </c>
      <c r="I48" s="14">
        <f t="shared" si="11"/>
        <v>23853</v>
      </c>
      <c r="J48" s="14">
        <f t="shared" si="11"/>
        <v>12410</v>
      </c>
      <c r="K48" s="14">
        <f t="shared" si="11"/>
        <v>12408</v>
      </c>
      <c r="L48" s="14">
        <f t="shared" si="11"/>
        <v>-13238.53</v>
      </c>
      <c r="M48" s="14">
        <f t="shared" si="11"/>
        <v>0</v>
      </c>
      <c r="N48" s="14">
        <f t="shared" si="5"/>
        <v>35432.47</v>
      </c>
    </row>
    <row r="49" spans="1:14" ht="15.75" customHeight="1" x14ac:dyDescent="0.3">
      <c r="A49" s="11" t="s">
        <v>279</v>
      </c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3">
        <f t="shared" si="5"/>
        <v>0</v>
      </c>
    </row>
    <row r="50" spans="1:14" ht="15.75" customHeight="1" x14ac:dyDescent="0.3">
      <c r="A50" s="11" t="s">
        <v>280</v>
      </c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</row>
    <row r="51" spans="1:14" ht="15.75" customHeight="1" x14ac:dyDescent="0.3">
      <c r="A51" s="11" t="s">
        <v>281</v>
      </c>
      <c r="B51" s="14">
        <f t="shared" ref="B51:M51" si="12">(B49)+(B50)</f>
        <v>0</v>
      </c>
      <c r="C51" s="14">
        <f t="shared" si="12"/>
        <v>0</v>
      </c>
      <c r="D51" s="14">
        <f t="shared" si="12"/>
        <v>0</v>
      </c>
      <c r="E51" s="14">
        <f t="shared" si="12"/>
        <v>0</v>
      </c>
      <c r="F51" s="14">
        <f t="shared" si="12"/>
        <v>0</v>
      </c>
      <c r="G51" s="14">
        <f t="shared" si="12"/>
        <v>0</v>
      </c>
      <c r="H51" s="14">
        <f t="shared" si="12"/>
        <v>0</v>
      </c>
      <c r="I51" s="14">
        <f t="shared" si="12"/>
        <v>0</v>
      </c>
      <c r="J51" s="14">
        <f t="shared" si="12"/>
        <v>0</v>
      </c>
      <c r="K51" s="14">
        <f t="shared" si="12"/>
        <v>0</v>
      </c>
      <c r="L51" s="14">
        <f t="shared" si="12"/>
        <v>0</v>
      </c>
      <c r="M51" s="14">
        <f t="shared" si="12"/>
        <v>0</v>
      </c>
      <c r="N51" s="14">
        <f t="shared" ref="N51:N54" si="13">(((((((((((B51)+(C51))+(D51))+(E51))+(F51))+(G51))+(H51))+(I51))+(J51))+(K51))+(L51))+(M51)</f>
        <v>0</v>
      </c>
    </row>
    <row r="52" spans="1:14" ht="15.75" customHeight="1" x14ac:dyDescent="0.3">
      <c r="A52" s="11" t="s">
        <v>282</v>
      </c>
      <c r="B52" s="14">
        <f t="shared" ref="B52:M52" si="14">((((((((((((B20)+(B21))+(B22))+(B23))+(B27))+(B28))+(B29))+(B30))+(B31))+(B38))+(B44))+(B48))+(B51)</f>
        <v>11136.83</v>
      </c>
      <c r="C52" s="14">
        <f t="shared" si="14"/>
        <v>8788.0300000000007</v>
      </c>
      <c r="D52" s="14">
        <f t="shared" si="14"/>
        <v>9380.130000000001</v>
      </c>
      <c r="E52" s="14">
        <f t="shared" si="14"/>
        <v>9012.24</v>
      </c>
      <c r="F52" s="14">
        <f t="shared" si="14"/>
        <v>18070.400000000001</v>
      </c>
      <c r="G52" s="14">
        <f t="shared" si="14"/>
        <v>7801.08</v>
      </c>
      <c r="H52" s="14">
        <f t="shared" si="14"/>
        <v>11859.09</v>
      </c>
      <c r="I52" s="14">
        <f t="shared" si="14"/>
        <v>33515.509999999995</v>
      </c>
      <c r="J52" s="14">
        <f t="shared" si="14"/>
        <v>25153.81</v>
      </c>
      <c r="K52" s="14">
        <f t="shared" si="14"/>
        <v>24341.89</v>
      </c>
      <c r="L52" s="14">
        <f t="shared" si="14"/>
        <v>-1423.7800000000007</v>
      </c>
      <c r="M52" s="14">
        <f t="shared" si="14"/>
        <v>16033.89</v>
      </c>
      <c r="N52" s="14">
        <f t="shared" si="13"/>
        <v>173669.12</v>
      </c>
    </row>
    <row r="53" spans="1:14" ht="15.75" customHeight="1" x14ac:dyDescent="0.3">
      <c r="A53" s="11" t="s">
        <v>0</v>
      </c>
      <c r="B53" s="14">
        <f t="shared" ref="B53:M53" si="15">(B16)-(B52)</f>
        <v>16876.449999999997</v>
      </c>
      <c r="C53" s="14">
        <f t="shared" si="15"/>
        <v>21359.699999999997</v>
      </c>
      <c r="D53" s="14">
        <f t="shared" si="15"/>
        <v>32682.739999999994</v>
      </c>
      <c r="E53" s="14">
        <f t="shared" si="15"/>
        <v>22730.03</v>
      </c>
      <c r="F53" s="14">
        <f t="shared" si="15"/>
        <v>7045.239999999998</v>
      </c>
      <c r="G53" s="14">
        <f t="shared" si="15"/>
        <v>20380.080000000002</v>
      </c>
      <c r="H53" s="14">
        <f t="shared" si="15"/>
        <v>18870.439999999999</v>
      </c>
      <c r="I53" s="14">
        <f t="shared" si="15"/>
        <v>-6306.8699999999953</v>
      </c>
      <c r="J53" s="14">
        <f t="shared" si="15"/>
        <v>-1628.3199999999997</v>
      </c>
      <c r="K53" s="14">
        <f t="shared" si="15"/>
        <v>978.88999999999942</v>
      </c>
      <c r="L53" s="14">
        <f t="shared" si="15"/>
        <v>30961.08</v>
      </c>
      <c r="M53" s="14">
        <f t="shared" si="15"/>
        <v>7033.8500000000022</v>
      </c>
      <c r="N53" s="14">
        <f t="shared" si="13"/>
        <v>170983.30999999997</v>
      </c>
    </row>
    <row r="54" spans="1:14" ht="15.75" customHeight="1" x14ac:dyDescent="0.3">
      <c r="A54" s="11" t="s">
        <v>283</v>
      </c>
      <c r="B54" s="14">
        <f t="shared" ref="B54:M54" si="16">(B53)+(0)</f>
        <v>16876.449999999997</v>
      </c>
      <c r="C54" s="14">
        <f t="shared" si="16"/>
        <v>21359.699999999997</v>
      </c>
      <c r="D54" s="14">
        <f t="shared" si="16"/>
        <v>32682.739999999994</v>
      </c>
      <c r="E54" s="14">
        <f t="shared" si="16"/>
        <v>22730.03</v>
      </c>
      <c r="F54" s="14">
        <f t="shared" si="16"/>
        <v>7045.239999999998</v>
      </c>
      <c r="G54" s="14">
        <f t="shared" si="16"/>
        <v>20380.080000000002</v>
      </c>
      <c r="H54" s="14">
        <f t="shared" si="16"/>
        <v>18870.439999999999</v>
      </c>
      <c r="I54" s="14">
        <f t="shared" si="16"/>
        <v>-6306.8699999999953</v>
      </c>
      <c r="J54" s="14">
        <f t="shared" si="16"/>
        <v>-1628.3199999999997</v>
      </c>
      <c r="K54" s="14">
        <f t="shared" si="16"/>
        <v>978.88999999999942</v>
      </c>
      <c r="L54" s="14">
        <f t="shared" si="16"/>
        <v>30961.08</v>
      </c>
      <c r="M54" s="14">
        <f t="shared" si="16"/>
        <v>7033.8500000000022</v>
      </c>
      <c r="N54" s="14">
        <f t="shared" si="13"/>
        <v>170983.30999999997</v>
      </c>
    </row>
    <row r="55" spans="1:14" ht="15.75" customHeight="1" x14ac:dyDescent="0.3">
      <c r="A55" s="11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>
        <f>N54/0.07</f>
        <v>2442618.7142857136</v>
      </c>
    </row>
    <row r="56" spans="1:14" ht="15.75" customHeight="1" x14ac:dyDescent="0.3">
      <c r="N56" s="1">
        <f>N54/0.06</f>
        <v>2849721.833333333</v>
      </c>
    </row>
    <row r="57" spans="1:14" ht="15.75" customHeight="1" x14ac:dyDescent="0.3"/>
    <row r="58" spans="1:14" ht="15.75" customHeight="1" x14ac:dyDescent="0.3">
      <c r="A58" s="23" t="s">
        <v>284</v>
      </c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</row>
    <row r="59" spans="1:14" ht="15.75" customHeight="1" x14ac:dyDescent="0.3"/>
    <row r="60" spans="1:14" ht="15.75" customHeight="1" x14ac:dyDescent="0.3"/>
    <row r="61" spans="1:14" ht="15.75" customHeight="1" x14ac:dyDescent="0.3"/>
    <row r="62" spans="1:14" ht="15.75" customHeight="1" x14ac:dyDescent="0.3"/>
    <row r="63" spans="1:14" ht="15.75" customHeight="1" x14ac:dyDescent="0.3"/>
    <row r="64" spans="1:1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mergeCells count="4">
    <mergeCell ref="A1:N1"/>
    <mergeCell ref="A2:N2"/>
    <mergeCell ref="A3:N3"/>
    <mergeCell ref="A58:N58"/>
  </mergeCells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1000"/>
  <sheetViews>
    <sheetView workbookViewId="0"/>
  </sheetViews>
  <sheetFormatPr defaultColWidth="14.44140625" defaultRowHeight="15" customHeight="1" x14ac:dyDescent="0.3"/>
  <cols>
    <col min="1" max="1" width="34.44140625" customWidth="1"/>
    <col min="2" max="11" width="9.44140625" customWidth="1"/>
    <col min="12" max="12" width="11.109375" customWidth="1"/>
    <col min="13" max="14" width="10.33203125" customWidth="1"/>
    <col min="15" max="26" width="8.6640625" customWidth="1"/>
  </cols>
  <sheetData>
    <row r="1" spans="1:14" ht="17.399999999999999" x14ac:dyDescent="0.3">
      <c r="A1" s="21" t="s">
        <v>220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</row>
    <row r="2" spans="1:14" ht="17.399999999999999" x14ac:dyDescent="0.3">
      <c r="A2" s="21" t="s">
        <v>221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</row>
    <row r="3" spans="1:14" ht="14.4" x14ac:dyDescent="0.3">
      <c r="A3" s="22" t="s">
        <v>285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</row>
    <row r="5" spans="1:14" ht="14.4" x14ac:dyDescent="0.3">
      <c r="A5" s="9"/>
      <c r="B5" s="10" t="s">
        <v>286</v>
      </c>
      <c r="C5" s="10" t="s">
        <v>287</v>
      </c>
      <c r="D5" s="10" t="s">
        <v>288</v>
      </c>
      <c r="E5" s="10" t="s">
        <v>223</v>
      </c>
      <c r="F5" s="10" t="s">
        <v>224</v>
      </c>
      <c r="G5" s="10" t="s">
        <v>225</v>
      </c>
      <c r="H5" s="10" t="s">
        <v>226</v>
      </c>
      <c r="I5" s="10" t="s">
        <v>227</v>
      </c>
      <c r="J5" s="10" t="s">
        <v>228</v>
      </c>
      <c r="K5" s="10" t="s">
        <v>229</v>
      </c>
      <c r="L5" s="10" t="s">
        <v>230</v>
      </c>
      <c r="M5" s="10" t="s">
        <v>231</v>
      </c>
      <c r="N5" s="10" t="s">
        <v>17</v>
      </c>
    </row>
    <row r="6" spans="1:14" ht="14.4" x14ac:dyDescent="0.3">
      <c r="A6" s="11" t="s">
        <v>236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</row>
    <row r="7" spans="1:14" ht="14.4" x14ac:dyDescent="0.3">
      <c r="A7" s="11" t="s">
        <v>237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3">
        <f t="shared" ref="N7:N15" si="0">(((((((((((B7)+(C7))+(D7))+(E7))+(F7))+(G7))+(H7))+(I7))+(J7))+(K7))+(L7))+(M7)</f>
        <v>0</v>
      </c>
    </row>
    <row r="8" spans="1:14" ht="14.4" x14ac:dyDescent="0.3">
      <c r="A8" s="11" t="s">
        <v>238</v>
      </c>
      <c r="B8" s="13">
        <f>29740.32</f>
        <v>29740.32</v>
      </c>
      <c r="C8" s="13">
        <f>28033.68</f>
        <v>28033.68</v>
      </c>
      <c r="D8" s="13">
        <f>26418</f>
        <v>26418</v>
      </c>
      <c r="E8" s="13">
        <f>28011.64</f>
        <v>28011.64</v>
      </c>
      <c r="F8" s="13">
        <f>30141.72</f>
        <v>30141.72</v>
      </c>
      <c r="G8" s="13">
        <f>42051.35</f>
        <v>42051.35</v>
      </c>
      <c r="H8" s="13">
        <f>31729.39</f>
        <v>31729.39</v>
      </c>
      <c r="I8" s="13">
        <f>25105.19</f>
        <v>25105.19</v>
      </c>
      <c r="J8" s="13">
        <f>28174.54</f>
        <v>28174.54</v>
      </c>
      <c r="K8" s="13">
        <f>31887.61</f>
        <v>31887.61</v>
      </c>
      <c r="L8" s="13">
        <f>27205.68</f>
        <v>27205.68</v>
      </c>
      <c r="M8" s="13">
        <f>23521.86</f>
        <v>23521.86</v>
      </c>
      <c r="N8" s="13">
        <f t="shared" si="0"/>
        <v>352020.97999999992</v>
      </c>
    </row>
    <row r="9" spans="1:14" ht="14.4" x14ac:dyDescent="0.3">
      <c r="A9" s="11" t="s">
        <v>239</v>
      </c>
      <c r="B9" s="13">
        <f>-1254</f>
        <v>-1254</v>
      </c>
      <c r="C9" s="12"/>
      <c r="D9" s="12"/>
      <c r="E9" s="12"/>
      <c r="F9" s="12"/>
      <c r="G9" s="12"/>
      <c r="H9" s="13">
        <f>-1</f>
        <v>-1</v>
      </c>
      <c r="I9" s="12"/>
      <c r="J9" s="12"/>
      <c r="K9" s="13">
        <f>-1165</f>
        <v>-1165</v>
      </c>
      <c r="L9" s="12"/>
      <c r="M9" s="12"/>
      <c r="N9" s="13">
        <f t="shared" si="0"/>
        <v>-2420</v>
      </c>
    </row>
    <row r="10" spans="1:14" ht="14.4" x14ac:dyDescent="0.3">
      <c r="A10" s="11" t="s">
        <v>240</v>
      </c>
      <c r="B10" s="14">
        <f t="shared" ref="B10:M10" si="1">((B7)+(B8))+(B9)</f>
        <v>28486.32</v>
      </c>
      <c r="C10" s="14">
        <f t="shared" si="1"/>
        <v>28033.68</v>
      </c>
      <c r="D10" s="14">
        <f t="shared" si="1"/>
        <v>26418</v>
      </c>
      <c r="E10" s="14">
        <f t="shared" si="1"/>
        <v>28011.64</v>
      </c>
      <c r="F10" s="14">
        <f t="shared" si="1"/>
        <v>30141.72</v>
      </c>
      <c r="G10" s="14">
        <f t="shared" si="1"/>
        <v>42051.35</v>
      </c>
      <c r="H10" s="14">
        <f t="shared" si="1"/>
        <v>31728.39</v>
      </c>
      <c r="I10" s="14">
        <f t="shared" si="1"/>
        <v>25105.19</v>
      </c>
      <c r="J10" s="14">
        <f t="shared" si="1"/>
        <v>28174.54</v>
      </c>
      <c r="K10" s="14">
        <f t="shared" si="1"/>
        <v>30722.61</v>
      </c>
      <c r="L10" s="14">
        <f t="shared" si="1"/>
        <v>27205.68</v>
      </c>
      <c r="M10" s="14">
        <f t="shared" si="1"/>
        <v>23521.86</v>
      </c>
      <c r="N10" s="14">
        <f t="shared" si="0"/>
        <v>349600.97999999992</v>
      </c>
    </row>
    <row r="11" spans="1:14" ht="14.4" x14ac:dyDescent="0.3">
      <c r="A11" s="11" t="s">
        <v>241</v>
      </c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3">
        <f t="shared" si="0"/>
        <v>0</v>
      </c>
    </row>
    <row r="12" spans="1:14" ht="14.4" x14ac:dyDescent="0.3">
      <c r="A12" s="11" t="s">
        <v>242</v>
      </c>
      <c r="B12" s="12"/>
      <c r="C12" s="12"/>
      <c r="D12" s="12"/>
      <c r="E12" s="13">
        <f>1.64</f>
        <v>1.64</v>
      </c>
      <c r="F12" s="13">
        <f>6.01</f>
        <v>6.01</v>
      </c>
      <c r="G12" s="13">
        <f>11.52</f>
        <v>11.52</v>
      </c>
      <c r="H12" s="13">
        <f>13.88</f>
        <v>13.88</v>
      </c>
      <c r="I12" s="13">
        <f>10.45</f>
        <v>10.45</v>
      </c>
      <c r="J12" s="13">
        <f>6.62</f>
        <v>6.62</v>
      </c>
      <c r="K12" s="13">
        <f>6.92</f>
        <v>6.92</v>
      </c>
      <c r="L12" s="13">
        <f>2.96</f>
        <v>2.96</v>
      </c>
      <c r="M12" s="13">
        <f>3.63</f>
        <v>3.63</v>
      </c>
      <c r="N12" s="13">
        <f t="shared" si="0"/>
        <v>63.63</v>
      </c>
    </row>
    <row r="13" spans="1:14" ht="14.4" x14ac:dyDescent="0.3">
      <c r="A13" s="11" t="s">
        <v>243</v>
      </c>
      <c r="B13" s="14">
        <f t="shared" ref="B13:M13" si="2">(B11)+(B12)</f>
        <v>0</v>
      </c>
      <c r="C13" s="14">
        <f t="shared" si="2"/>
        <v>0</v>
      </c>
      <c r="D13" s="14">
        <f t="shared" si="2"/>
        <v>0</v>
      </c>
      <c r="E13" s="14">
        <f t="shared" si="2"/>
        <v>1.64</v>
      </c>
      <c r="F13" s="14">
        <f t="shared" si="2"/>
        <v>6.01</v>
      </c>
      <c r="G13" s="14">
        <f t="shared" si="2"/>
        <v>11.52</v>
      </c>
      <c r="H13" s="14">
        <f t="shared" si="2"/>
        <v>13.88</v>
      </c>
      <c r="I13" s="14">
        <f t="shared" si="2"/>
        <v>10.45</v>
      </c>
      <c r="J13" s="14">
        <f t="shared" si="2"/>
        <v>6.62</v>
      </c>
      <c r="K13" s="14">
        <f t="shared" si="2"/>
        <v>6.92</v>
      </c>
      <c r="L13" s="14">
        <f t="shared" si="2"/>
        <v>2.96</v>
      </c>
      <c r="M13" s="14">
        <f t="shared" si="2"/>
        <v>3.63</v>
      </c>
      <c r="N13" s="14">
        <f t="shared" si="0"/>
        <v>63.63</v>
      </c>
    </row>
    <row r="14" spans="1:14" ht="14.4" x14ac:dyDescent="0.3">
      <c r="A14" s="11" t="s">
        <v>245</v>
      </c>
      <c r="B14" s="14">
        <f t="shared" ref="B14:M14" si="3">(B10)+(B13)</f>
        <v>28486.32</v>
      </c>
      <c r="C14" s="14">
        <f t="shared" si="3"/>
        <v>28033.68</v>
      </c>
      <c r="D14" s="14">
        <f t="shared" si="3"/>
        <v>26418</v>
      </c>
      <c r="E14" s="14">
        <f t="shared" si="3"/>
        <v>28013.279999999999</v>
      </c>
      <c r="F14" s="14">
        <f t="shared" si="3"/>
        <v>30147.73</v>
      </c>
      <c r="G14" s="14">
        <f t="shared" si="3"/>
        <v>42062.869999999995</v>
      </c>
      <c r="H14" s="14">
        <f t="shared" si="3"/>
        <v>31742.27</v>
      </c>
      <c r="I14" s="14">
        <f t="shared" si="3"/>
        <v>25115.64</v>
      </c>
      <c r="J14" s="14">
        <f t="shared" si="3"/>
        <v>28181.16</v>
      </c>
      <c r="K14" s="14">
        <f t="shared" si="3"/>
        <v>30729.53</v>
      </c>
      <c r="L14" s="14">
        <f t="shared" si="3"/>
        <v>27208.639999999999</v>
      </c>
      <c r="M14" s="14">
        <f t="shared" si="3"/>
        <v>23525.49</v>
      </c>
      <c r="N14" s="14">
        <f t="shared" si="0"/>
        <v>349664.61</v>
      </c>
    </row>
    <row r="15" spans="1:14" ht="14.4" x14ac:dyDescent="0.3">
      <c r="A15" s="11" t="s">
        <v>246</v>
      </c>
      <c r="B15" s="14">
        <f t="shared" ref="B15:M15" si="4">(B14)-(0)</f>
        <v>28486.32</v>
      </c>
      <c r="C15" s="14">
        <f t="shared" si="4"/>
        <v>28033.68</v>
      </c>
      <c r="D15" s="14">
        <f t="shared" si="4"/>
        <v>26418</v>
      </c>
      <c r="E15" s="14">
        <f t="shared" si="4"/>
        <v>28013.279999999999</v>
      </c>
      <c r="F15" s="14">
        <f t="shared" si="4"/>
        <v>30147.73</v>
      </c>
      <c r="G15" s="14">
        <f t="shared" si="4"/>
        <v>42062.869999999995</v>
      </c>
      <c r="H15" s="14">
        <f t="shared" si="4"/>
        <v>31742.27</v>
      </c>
      <c r="I15" s="14">
        <f t="shared" si="4"/>
        <v>25115.64</v>
      </c>
      <c r="J15" s="14">
        <f t="shared" si="4"/>
        <v>28181.16</v>
      </c>
      <c r="K15" s="14">
        <f t="shared" si="4"/>
        <v>30729.53</v>
      </c>
      <c r="L15" s="14">
        <f t="shared" si="4"/>
        <v>27208.639999999999</v>
      </c>
      <c r="M15" s="14">
        <f t="shared" si="4"/>
        <v>23525.49</v>
      </c>
      <c r="N15" s="14">
        <f t="shared" si="0"/>
        <v>349664.61</v>
      </c>
    </row>
    <row r="16" spans="1:14" ht="14.4" x14ac:dyDescent="0.3">
      <c r="A16" s="11" t="s">
        <v>247</v>
      </c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</row>
    <row r="17" spans="1:14" ht="14.4" x14ac:dyDescent="0.3">
      <c r="A17" s="11" t="s">
        <v>248</v>
      </c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3">
        <f t="shared" ref="N17:N54" si="5">(((((((((((B17)+(C17))+(D17))+(E17))+(F17))+(G17))+(H17))+(I17))+(J17))+(K17))+(L17))+(M17)</f>
        <v>0</v>
      </c>
    </row>
    <row r="18" spans="1:14" ht="14.4" x14ac:dyDescent="0.3">
      <c r="A18" s="11" t="s">
        <v>249</v>
      </c>
      <c r="B18" s="12"/>
      <c r="C18" s="12"/>
      <c r="D18" s="12"/>
      <c r="E18" s="13">
        <f>174.24</f>
        <v>174.24</v>
      </c>
      <c r="F18" s="12"/>
      <c r="G18" s="12"/>
      <c r="H18" s="12"/>
      <c r="I18" s="12"/>
      <c r="J18" s="12"/>
      <c r="K18" s="12"/>
      <c r="L18" s="12"/>
      <c r="M18" s="12"/>
      <c r="N18" s="13">
        <f t="shared" si="5"/>
        <v>174.24</v>
      </c>
    </row>
    <row r="19" spans="1:14" ht="14.4" x14ac:dyDescent="0.3">
      <c r="A19" s="11" t="s">
        <v>250</v>
      </c>
      <c r="B19" s="14">
        <f t="shared" ref="B19:M19" si="6">(B17)+(B18)</f>
        <v>0</v>
      </c>
      <c r="C19" s="14">
        <f t="shared" si="6"/>
        <v>0</v>
      </c>
      <c r="D19" s="14">
        <f t="shared" si="6"/>
        <v>0</v>
      </c>
      <c r="E19" s="14">
        <f t="shared" si="6"/>
        <v>174.24</v>
      </c>
      <c r="F19" s="14">
        <f t="shared" si="6"/>
        <v>0</v>
      </c>
      <c r="G19" s="14">
        <f t="shared" si="6"/>
        <v>0</v>
      </c>
      <c r="H19" s="14">
        <f t="shared" si="6"/>
        <v>0</v>
      </c>
      <c r="I19" s="14">
        <f t="shared" si="6"/>
        <v>0</v>
      </c>
      <c r="J19" s="14">
        <f t="shared" si="6"/>
        <v>0</v>
      </c>
      <c r="K19" s="14">
        <f t="shared" si="6"/>
        <v>0</v>
      </c>
      <c r="L19" s="14">
        <f t="shared" si="6"/>
        <v>0</v>
      </c>
      <c r="M19" s="14">
        <f t="shared" si="6"/>
        <v>0</v>
      </c>
      <c r="N19" s="14">
        <f t="shared" si="5"/>
        <v>174.24</v>
      </c>
    </row>
    <row r="20" spans="1:14" ht="14.4" x14ac:dyDescent="0.3">
      <c r="A20" s="11" t="s">
        <v>251</v>
      </c>
      <c r="B20" s="12"/>
      <c r="C20" s="12"/>
      <c r="D20" s="12"/>
      <c r="E20" s="12"/>
      <c r="F20" s="12"/>
      <c r="G20" s="12"/>
      <c r="H20" s="12"/>
      <c r="I20" s="13">
        <f>230</f>
        <v>230</v>
      </c>
      <c r="J20" s="12"/>
      <c r="K20" s="12"/>
      <c r="L20" s="12"/>
      <c r="M20" s="12"/>
      <c r="N20" s="13">
        <f t="shared" si="5"/>
        <v>230</v>
      </c>
    </row>
    <row r="21" spans="1:14" ht="15.75" customHeight="1" x14ac:dyDescent="0.3">
      <c r="A21" s="11" t="s">
        <v>253</v>
      </c>
      <c r="B21" s="12"/>
      <c r="C21" s="12"/>
      <c r="D21" s="12"/>
      <c r="E21" s="12"/>
      <c r="F21" s="12"/>
      <c r="G21" s="13">
        <f>240.19</f>
        <v>240.19</v>
      </c>
      <c r="H21" s="12"/>
      <c r="I21" s="13">
        <f>219</f>
        <v>219</v>
      </c>
      <c r="J21" s="12"/>
      <c r="K21" s="13">
        <f>438</f>
        <v>438</v>
      </c>
      <c r="L21" s="13">
        <f t="shared" ref="L21:M21" si="7">219</f>
        <v>219</v>
      </c>
      <c r="M21" s="13">
        <f t="shared" si="7"/>
        <v>219</v>
      </c>
      <c r="N21" s="13">
        <f t="shared" si="5"/>
        <v>1335.19</v>
      </c>
    </row>
    <row r="22" spans="1:14" ht="15.75" customHeight="1" x14ac:dyDescent="0.3">
      <c r="A22" s="11" t="s">
        <v>254</v>
      </c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3">
        <f t="shared" si="5"/>
        <v>0</v>
      </c>
    </row>
    <row r="23" spans="1:14" ht="15.75" customHeight="1" x14ac:dyDescent="0.3">
      <c r="A23" s="11" t="s">
        <v>255</v>
      </c>
      <c r="B23" s="13">
        <f>1914.08</f>
        <v>1914.08</v>
      </c>
      <c r="C23" s="13">
        <f>1865.92</f>
        <v>1865.92</v>
      </c>
      <c r="D23" s="13">
        <f>1788</f>
        <v>1788</v>
      </c>
      <c r="E23" s="13">
        <f>4944.03</f>
        <v>4944.03</v>
      </c>
      <c r="F23" s="13">
        <f>1914.4</f>
        <v>1914.4</v>
      </c>
      <c r="G23" s="13">
        <f>1898.72</f>
        <v>1898.72</v>
      </c>
      <c r="H23" s="13">
        <f>1785.92</f>
        <v>1785.92</v>
      </c>
      <c r="I23" s="13">
        <f>1916.72</f>
        <v>1916.72</v>
      </c>
      <c r="J23" s="13">
        <f>1838</f>
        <v>1838</v>
      </c>
      <c r="K23" s="13">
        <f>2035.84</f>
        <v>2035.84</v>
      </c>
      <c r="L23" s="13">
        <f>1916.24</f>
        <v>1916.24</v>
      </c>
      <c r="M23" s="13">
        <f>2029.04</f>
        <v>2029.04</v>
      </c>
      <c r="N23" s="13">
        <f t="shared" si="5"/>
        <v>25846.91</v>
      </c>
    </row>
    <row r="24" spans="1:14" ht="15.75" customHeight="1" x14ac:dyDescent="0.3">
      <c r="A24" s="11" t="s">
        <v>256</v>
      </c>
      <c r="B24" s="12"/>
      <c r="C24" s="12"/>
      <c r="D24" s="12"/>
      <c r="E24" s="13">
        <f>1700</f>
        <v>1700</v>
      </c>
      <c r="F24" s="12"/>
      <c r="G24" s="12"/>
      <c r="H24" s="12"/>
      <c r="I24" s="13">
        <f>530</f>
        <v>530</v>
      </c>
      <c r="J24" s="12"/>
      <c r="K24" s="12"/>
      <c r="L24" s="12"/>
      <c r="M24" s="12"/>
      <c r="N24" s="13">
        <f t="shared" si="5"/>
        <v>2230</v>
      </c>
    </row>
    <row r="25" spans="1:14" ht="15.75" customHeight="1" x14ac:dyDescent="0.3">
      <c r="A25" s="11" t="s">
        <v>257</v>
      </c>
      <c r="B25" s="14">
        <f t="shared" ref="B25:M25" si="8">((B22)+(B23))+(B24)</f>
        <v>1914.08</v>
      </c>
      <c r="C25" s="14">
        <f t="shared" si="8"/>
        <v>1865.92</v>
      </c>
      <c r="D25" s="14">
        <f t="shared" si="8"/>
        <v>1788</v>
      </c>
      <c r="E25" s="14">
        <f t="shared" si="8"/>
        <v>6644.03</v>
      </c>
      <c r="F25" s="14">
        <f t="shared" si="8"/>
        <v>1914.4</v>
      </c>
      <c r="G25" s="14">
        <f t="shared" si="8"/>
        <v>1898.72</v>
      </c>
      <c r="H25" s="14">
        <f t="shared" si="8"/>
        <v>1785.92</v>
      </c>
      <c r="I25" s="14">
        <f t="shared" si="8"/>
        <v>2446.7200000000003</v>
      </c>
      <c r="J25" s="14">
        <f t="shared" si="8"/>
        <v>1838</v>
      </c>
      <c r="K25" s="14">
        <f t="shared" si="8"/>
        <v>2035.84</v>
      </c>
      <c r="L25" s="14">
        <f t="shared" si="8"/>
        <v>1916.24</v>
      </c>
      <c r="M25" s="14">
        <f t="shared" si="8"/>
        <v>2029.04</v>
      </c>
      <c r="N25" s="14">
        <f t="shared" si="5"/>
        <v>28076.910000000003</v>
      </c>
    </row>
    <row r="26" spans="1:14" ht="15.75" customHeight="1" x14ac:dyDescent="0.3">
      <c r="A26" s="11" t="s">
        <v>258</v>
      </c>
      <c r="B26" s="13">
        <f>651.84</f>
        <v>651.84</v>
      </c>
      <c r="C26" s="13">
        <f>373.1</f>
        <v>373.1</v>
      </c>
      <c r="D26" s="12"/>
      <c r="E26" s="13">
        <f>1331.09</f>
        <v>1331.09</v>
      </c>
      <c r="F26" s="13">
        <f>1505.49</f>
        <v>1505.49</v>
      </c>
      <c r="G26" s="13">
        <f>1620</f>
        <v>1620</v>
      </c>
      <c r="H26" s="13">
        <f>1847.34</f>
        <v>1847.34</v>
      </c>
      <c r="I26" s="13">
        <f>6792.38</f>
        <v>6792.38</v>
      </c>
      <c r="J26" s="13">
        <f>1182.09</f>
        <v>1182.0899999999999</v>
      </c>
      <c r="K26" s="13">
        <f>2887.52</f>
        <v>2887.52</v>
      </c>
      <c r="L26" s="13">
        <f>1143.54</f>
        <v>1143.54</v>
      </c>
      <c r="M26" s="13">
        <f>1660.18</f>
        <v>1660.18</v>
      </c>
      <c r="N26" s="13">
        <f t="shared" si="5"/>
        <v>20994.57</v>
      </c>
    </row>
    <row r="27" spans="1:14" ht="15.75" customHeight="1" x14ac:dyDescent="0.3">
      <c r="A27" s="11" t="s">
        <v>289</v>
      </c>
      <c r="B27" s="12"/>
      <c r="C27" s="13">
        <f>36.92</f>
        <v>36.92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3">
        <f t="shared" si="5"/>
        <v>36.92</v>
      </c>
    </row>
    <row r="28" spans="1:14" ht="15.75" customHeight="1" x14ac:dyDescent="0.3">
      <c r="A28" s="11" t="s">
        <v>259</v>
      </c>
      <c r="B28" s="12"/>
      <c r="C28" s="12"/>
      <c r="D28" s="12"/>
      <c r="E28" s="12"/>
      <c r="F28" s="12"/>
      <c r="G28" s="13">
        <f>240</f>
        <v>240</v>
      </c>
      <c r="H28" s="12"/>
      <c r="I28" s="12"/>
      <c r="J28" s="12"/>
      <c r="K28" s="12"/>
      <c r="L28" s="12"/>
      <c r="M28" s="12"/>
      <c r="N28" s="13">
        <f t="shared" si="5"/>
        <v>240</v>
      </c>
    </row>
    <row r="29" spans="1:14" ht="15.75" customHeight="1" x14ac:dyDescent="0.3">
      <c r="A29" s="11" t="s">
        <v>260</v>
      </c>
      <c r="B29" s="13">
        <f>15.15</f>
        <v>15.15</v>
      </c>
      <c r="C29" s="13">
        <f>19.43</f>
        <v>19.43</v>
      </c>
      <c r="D29" s="13">
        <f>15.81</f>
        <v>15.81</v>
      </c>
      <c r="E29" s="13">
        <f>93.04</f>
        <v>93.04</v>
      </c>
      <c r="F29" s="12"/>
      <c r="G29" s="13">
        <f>163.97</f>
        <v>163.97</v>
      </c>
      <c r="H29" s="12"/>
      <c r="I29" s="12"/>
      <c r="J29" s="12"/>
      <c r="K29" s="12"/>
      <c r="L29" s="12"/>
      <c r="M29" s="12"/>
      <c r="N29" s="13">
        <f t="shared" si="5"/>
        <v>307.39999999999998</v>
      </c>
    </row>
    <row r="30" spans="1:14" ht="15.75" customHeight="1" x14ac:dyDescent="0.3">
      <c r="A30" s="11" t="s">
        <v>261</v>
      </c>
      <c r="B30" s="12"/>
      <c r="C30" s="12"/>
      <c r="D30" s="12"/>
      <c r="E30" s="12"/>
      <c r="F30" s="13">
        <f>238.34</f>
        <v>238.34</v>
      </c>
      <c r="G30" s="12"/>
      <c r="H30" s="12"/>
      <c r="I30" s="13">
        <f>608.39</f>
        <v>608.39</v>
      </c>
      <c r="J30" s="12"/>
      <c r="K30" s="12"/>
      <c r="L30" s="12"/>
      <c r="M30" s="12"/>
      <c r="N30" s="13">
        <f t="shared" si="5"/>
        <v>846.73</v>
      </c>
    </row>
    <row r="31" spans="1:14" ht="15.75" customHeight="1" x14ac:dyDescent="0.3">
      <c r="A31" s="11" t="s">
        <v>262</v>
      </c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3">
        <f t="shared" si="5"/>
        <v>0</v>
      </c>
    </row>
    <row r="32" spans="1:14" ht="15.75" customHeight="1" x14ac:dyDescent="0.3">
      <c r="A32" s="11" t="s">
        <v>263</v>
      </c>
      <c r="B32" s="13">
        <f>2244.08</f>
        <v>2244.08</v>
      </c>
      <c r="C32" s="13">
        <f>4909.46</f>
        <v>4909.46</v>
      </c>
      <c r="D32" s="13">
        <f>7515.57</f>
        <v>7515.57</v>
      </c>
      <c r="E32" s="13">
        <f>1358.77</f>
        <v>1358.77</v>
      </c>
      <c r="F32" s="12"/>
      <c r="G32" s="12"/>
      <c r="H32" s="13">
        <f>1476.79</f>
        <v>1476.79</v>
      </c>
      <c r="I32" s="13">
        <f>2026.13</f>
        <v>2026.13</v>
      </c>
      <c r="J32" s="13">
        <f>1889.14</f>
        <v>1889.14</v>
      </c>
      <c r="K32" s="13">
        <f>1972.56</f>
        <v>1972.56</v>
      </c>
      <c r="L32" s="13">
        <f>1401.16</f>
        <v>1401.16</v>
      </c>
      <c r="M32" s="13">
        <f>3073.38</f>
        <v>3073.38</v>
      </c>
      <c r="N32" s="13">
        <f t="shared" si="5"/>
        <v>27867.040000000005</v>
      </c>
    </row>
    <row r="33" spans="1:14" ht="15.75" customHeight="1" x14ac:dyDescent="0.3">
      <c r="A33" s="11" t="s">
        <v>264</v>
      </c>
      <c r="B33" s="13">
        <f>258.38</f>
        <v>258.38</v>
      </c>
      <c r="C33" s="13">
        <f>292.3</f>
        <v>292.3</v>
      </c>
      <c r="D33" s="13">
        <f>255.1</f>
        <v>255.1</v>
      </c>
      <c r="E33" s="13">
        <f>249.26</f>
        <v>249.26</v>
      </c>
      <c r="F33" s="13">
        <f>1871.38</f>
        <v>1871.38</v>
      </c>
      <c r="G33" s="13">
        <f>211.5</f>
        <v>211.5</v>
      </c>
      <c r="H33" s="13">
        <f>191</f>
        <v>191</v>
      </c>
      <c r="I33" s="13">
        <f>372.99</f>
        <v>372.99</v>
      </c>
      <c r="J33" s="13">
        <f>15.12</f>
        <v>15.12</v>
      </c>
      <c r="K33" s="13">
        <f>239.11</f>
        <v>239.11</v>
      </c>
      <c r="L33" s="13">
        <f>210.01</f>
        <v>210.01</v>
      </c>
      <c r="M33" s="13">
        <f>391.83</f>
        <v>391.83</v>
      </c>
      <c r="N33" s="13">
        <f t="shared" si="5"/>
        <v>4557.9799999999996</v>
      </c>
    </row>
    <row r="34" spans="1:14" ht="15.75" customHeight="1" x14ac:dyDescent="0.3">
      <c r="A34" s="11" t="s">
        <v>265</v>
      </c>
      <c r="B34" s="13">
        <f>1366.33</f>
        <v>1366.33</v>
      </c>
      <c r="C34" s="13">
        <f>1485.52</f>
        <v>1485.52</v>
      </c>
      <c r="D34" s="13">
        <f>1469.4</f>
        <v>1469.4</v>
      </c>
      <c r="E34" s="13">
        <f>1778.9</f>
        <v>1778.9</v>
      </c>
      <c r="F34" s="13">
        <f>1921.74</f>
        <v>1921.74</v>
      </c>
      <c r="G34" s="13">
        <f>1953.98</f>
        <v>1953.98</v>
      </c>
      <c r="H34" s="13">
        <f>1618.69</f>
        <v>1618.69</v>
      </c>
      <c r="I34" s="13">
        <f>1967.4</f>
        <v>1967.4</v>
      </c>
      <c r="J34" s="13">
        <f>1864.23</f>
        <v>1864.23</v>
      </c>
      <c r="K34" s="13">
        <f>1796.53</f>
        <v>1796.53</v>
      </c>
      <c r="L34" s="13">
        <f>1638.56</f>
        <v>1638.56</v>
      </c>
      <c r="M34" s="13">
        <f>1651.45</f>
        <v>1651.45</v>
      </c>
      <c r="N34" s="13">
        <f t="shared" si="5"/>
        <v>20512.73</v>
      </c>
    </row>
    <row r="35" spans="1:14" ht="15.75" customHeight="1" x14ac:dyDescent="0.3">
      <c r="A35" s="11" t="s">
        <v>266</v>
      </c>
      <c r="B35" s="12"/>
      <c r="C35" s="12"/>
      <c r="D35" s="12"/>
      <c r="E35" s="12"/>
      <c r="F35" s="13">
        <f>262.68</f>
        <v>262.68</v>
      </c>
      <c r="G35" s="13">
        <f>114.98</f>
        <v>114.98</v>
      </c>
      <c r="H35" s="12"/>
      <c r="I35" s="12"/>
      <c r="J35" s="12"/>
      <c r="K35" s="12"/>
      <c r="L35" s="12"/>
      <c r="M35" s="12"/>
      <c r="N35" s="13">
        <f t="shared" si="5"/>
        <v>377.66</v>
      </c>
    </row>
    <row r="36" spans="1:14" ht="15.75" customHeight="1" x14ac:dyDescent="0.3">
      <c r="A36" s="11" t="s">
        <v>267</v>
      </c>
      <c r="B36" s="12"/>
      <c r="C36" s="13">
        <f>2394.05</f>
        <v>2394.0500000000002</v>
      </c>
      <c r="D36" s="13">
        <f>1068.37</f>
        <v>1068.3699999999999</v>
      </c>
      <c r="E36" s="12"/>
      <c r="F36" s="12"/>
      <c r="G36" s="13">
        <f>1591.66</f>
        <v>1591.66</v>
      </c>
      <c r="H36" s="12"/>
      <c r="I36" s="13">
        <f>2333.39</f>
        <v>2333.39</v>
      </c>
      <c r="J36" s="12"/>
      <c r="K36" s="13">
        <f>1310.53</f>
        <v>1310.53</v>
      </c>
      <c r="L36" s="13">
        <f>2616.5</f>
        <v>2616.5</v>
      </c>
      <c r="M36" s="13">
        <f>2643.8</f>
        <v>2643.8</v>
      </c>
      <c r="N36" s="13">
        <f t="shared" si="5"/>
        <v>13958.3</v>
      </c>
    </row>
    <row r="37" spans="1:14" ht="15.75" customHeight="1" x14ac:dyDescent="0.3">
      <c r="A37" s="11" t="s">
        <v>268</v>
      </c>
      <c r="B37" s="14">
        <f t="shared" ref="B37:M37" si="9">(((((B31)+(B32))+(B33))+(B34))+(B35))+(B36)</f>
        <v>3868.79</v>
      </c>
      <c r="C37" s="14">
        <f t="shared" si="9"/>
        <v>9081.3300000000017</v>
      </c>
      <c r="D37" s="14">
        <f t="shared" si="9"/>
        <v>10308.439999999999</v>
      </c>
      <c r="E37" s="14">
        <f t="shared" si="9"/>
        <v>3386.9300000000003</v>
      </c>
      <c r="F37" s="14">
        <f t="shared" si="9"/>
        <v>4055.7999999999997</v>
      </c>
      <c r="G37" s="14">
        <f t="shared" si="9"/>
        <v>3872.12</v>
      </c>
      <c r="H37" s="14">
        <f t="shared" si="9"/>
        <v>3286.48</v>
      </c>
      <c r="I37" s="14">
        <f t="shared" si="9"/>
        <v>6699.91</v>
      </c>
      <c r="J37" s="14">
        <f t="shared" si="9"/>
        <v>3768.49</v>
      </c>
      <c r="K37" s="14">
        <f t="shared" si="9"/>
        <v>5318.73</v>
      </c>
      <c r="L37" s="14">
        <f t="shared" si="9"/>
        <v>5866.23</v>
      </c>
      <c r="M37" s="14">
        <f t="shared" si="9"/>
        <v>7760.46</v>
      </c>
      <c r="N37" s="14">
        <f t="shared" si="5"/>
        <v>67273.710000000006</v>
      </c>
    </row>
    <row r="38" spans="1:14" ht="15.75" customHeight="1" x14ac:dyDescent="0.3">
      <c r="A38" s="11" t="s">
        <v>269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3">
        <f t="shared" si="5"/>
        <v>0</v>
      </c>
    </row>
    <row r="39" spans="1:14" ht="15.75" customHeight="1" x14ac:dyDescent="0.3">
      <c r="A39" s="11" t="s">
        <v>270</v>
      </c>
      <c r="B39" s="13">
        <f>621</f>
        <v>621</v>
      </c>
      <c r="C39" s="13">
        <f>549</f>
        <v>549</v>
      </c>
      <c r="D39" s="13">
        <f>414</f>
        <v>414</v>
      </c>
      <c r="E39" s="13">
        <f>517.5</f>
        <v>517.5</v>
      </c>
      <c r="F39" s="13">
        <f>414</f>
        <v>414</v>
      </c>
      <c r="G39" s="13">
        <f>549</f>
        <v>549</v>
      </c>
      <c r="H39" s="13">
        <f>517.5</f>
        <v>517.5</v>
      </c>
      <c r="I39" s="13">
        <f>414</f>
        <v>414</v>
      </c>
      <c r="J39" s="13">
        <f>517.5</f>
        <v>517.5</v>
      </c>
      <c r="K39" s="13">
        <f>414</f>
        <v>414</v>
      </c>
      <c r="L39" s="13">
        <f>517.5</f>
        <v>517.5</v>
      </c>
      <c r="M39" s="13">
        <f>414</f>
        <v>414</v>
      </c>
      <c r="N39" s="13">
        <f t="shared" si="5"/>
        <v>5859</v>
      </c>
    </row>
    <row r="40" spans="1:14" ht="15.75" customHeight="1" x14ac:dyDescent="0.3">
      <c r="A40" s="11" t="s">
        <v>271</v>
      </c>
      <c r="B40" s="12"/>
      <c r="C40" s="13">
        <f>600</f>
        <v>600</v>
      </c>
      <c r="D40" s="12"/>
      <c r="E40" s="13">
        <f>690</f>
        <v>690</v>
      </c>
      <c r="F40" s="13">
        <f>660</f>
        <v>660</v>
      </c>
      <c r="G40" s="13">
        <f>495</f>
        <v>495</v>
      </c>
      <c r="H40" s="13">
        <f>1575</f>
        <v>1575</v>
      </c>
      <c r="I40" s="13">
        <f>660</f>
        <v>660</v>
      </c>
      <c r="J40" s="13">
        <f>495</f>
        <v>495</v>
      </c>
      <c r="K40" s="13">
        <f>765</f>
        <v>765</v>
      </c>
      <c r="L40" s="12"/>
      <c r="M40" s="13">
        <f>360</f>
        <v>360</v>
      </c>
      <c r="N40" s="13">
        <f t="shared" si="5"/>
        <v>6300</v>
      </c>
    </row>
    <row r="41" spans="1:14" ht="15.75" customHeight="1" x14ac:dyDescent="0.3">
      <c r="A41" s="11" t="s">
        <v>272</v>
      </c>
      <c r="B41" s="12"/>
      <c r="C41" s="12"/>
      <c r="D41" s="13">
        <f>420</f>
        <v>420</v>
      </c>
      <c r="E41" s="12"/>
      <c r="F41" s="12"/>
      <c r="G41" s="12"/>
      <c r="H41" s="12"/>
      <c r="I41" s="12"/>
      <c r="J41" s="12"/>
      <c r="K41" s="12"/>
      <c r="L41" s="12"/>
      <c r="M41" s="12"/>
      <c r="N41" s="13">
        <f t="shared" si="5"/>
        <v>420</v>
      </c>
    </row>
    <row r="42" spans="1:14" ht="15.75" customHeight="1" x14ac:dyDescent="0.3">
      <c r="A42" s="11" t="s">
        <v>273</v>
      </c>
      <c r="B42" s="12"/>
      <c r="C42" s="13">
        <f>301.13</f>
        <v>301.13</v>
      </c>
      <c r="D42" s="12"/>
      <c r="E42" s="12"/>
      <c r="F42" s="12"/>
      <c r="G42" s="13">
        <f>301.13</f>
        <v>301.13</v>
      </c>
      <c r="H42" s="12"/>
      <c r="I42" s="12"/>
      <c r="J42" s="12"/>
      <c r="K42" s="12"/>
      <c r="L42" s="12"/>
      <c r="M42" s="13">
        <f>301.13</f>
        <v>301.13</v>
      </c>
      <c r="N42" s="13">
        <f t="shared" si="5"/>
        <v>903.39</v>
      </c>
    </row>
    <row r="43" spans="1:14" ht="15.75" customHeight="1" x14ac:dyDescent="0.3">
      <c r="A43" s="11" t="s">
        <v>274</v>
      </c>
      <c r="B43" s="14">
        <f t="shared" ref="B43:M43" si="10">((((B38)+(B39))+(B40))+(B41))+(B42)</f>
        <v>621</v>
      </c>
      <c r="C43" s="14">
        <f t="shared" si="10"/>
        <v>1450.13</v>
      </c>
      <c r="D43" s="14">
        <f t="shared" si="10"/>
        <v>834</v>
      </c>
      <c r="E43" s="14">
        <f t="shared" si="10"/>
        <v>1207.5</v>
      </c>
      <c r="F43" s="14">
        <f t="shared" si="10"/>
        <v>1074</v>
      </c>
      <c r="G43" s="14">
        <f t="shared" si="10"/>
        <v>1345.13</v>
      </c>
      <c r="H43" s="14">
        <f t="shared" si="10"/>
        <v>2092.5</v>
      </c>
      <c r="I43" s="14">
        <f t="shared" si="10"/>
        <v>1074</v>
      </c>
      <c r="J43" s="14">
        <f t="shared" si="10"/>
        <v>1012.5</v>
      </c>
      <c r="K43" s="14">
        <f t="shared" si="10"/>
        <v>1179</v>
      </c>
      <c r="L43" s="14">
        <f t="shared" si="10"/>
        <v>517.5</v>
      </c>
      <c r="M43" s="14">
        <f t="shared" si="10"/>
        <v>1075.1300000000001</v>
      </c>
      <c r="N43" s="14">
        <f t="shared" si="5"/>
        <v>13482.39</v>
      </c>
    </row>
    <row r="44" spans="1:14" ht="15.75" customHeight="1" x14ac:dyDescent="0.3">
      <c r="A44" s="11" t="s">
        <v>275</v>
      </c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3">
        <f t="shared" si="5"/>
        <v>0</v>
      </c>
    </row>
    <row r="45" spans="1:14" ht="15.75" customHeight="1" x14ac:dyDescent="0.3">
      <c r="A45" s="11" t="s">
        <v>276</v>
      </c>
      <c r="B45" s="12"/>
      <c r="C45" s="12"/>
      <c r="D45" s="12"/>
      <c r="E45" s="12"/>
      <c r="F45" s="13">
        <f>11425.37</f>
        <v>11425.37</v>
      </c>
      <c r="G45" s="13">
        <f>-13245.43</f>
        <v>-13245.43</v>
      </c>
      <c r="H45" s="12"/>
      <c r="I45" s="12"/>
      <c r="J45" s="12"/>
      <c r="K45" s="12"/>
      <c r="L45" s="12"/>
      <c r="M45" s="13">
        <f>12410</f>
        <v>12410</v>
      </c>
      <c r="N45" s="13">
        <f t="shared" si="5"/>
        <v>10589.94</v>
      </c>
    </row>
    <row r="46" spans="1:14" ht="15.75" customHeight="1" x14ac:dyDescent="0.3">
      <c r="A46" s="11" t="s">
        <v>277</v>
      </c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3">
        <f>23853</f>
        <v>23853</v>
      </c>
      <c r="M46" s="12"/>
      <c r="N46" s="13">
        <f t="shared" si="5"/>
        <v>23853</v>
      </c>
    </row>
    <row r="47" spans="1:14" ht="15.75" customHeight="1" x14ac:dyDescent="0.3">
      <c r="A47" s="11" t="s">
        <v>278</v>
      </c>
      <c r="B47" s="14">
        <f t="shared" ref="B47:M47" si="11">((B44)+(B45))+(B46)</f>
        <v>0</v>
      </c>
      <c r="C47" s="14">
        <f t="shared" si="11"/>
        <v>0</v>
      </c>
      <c r="D47" s="14">
        <f t="shared" si="11"/>
        <v>0</v>
      </c>
      <c r="E47" s="14">
        <f t="shared" si="11"/>
        <v>0</v>
      </c>
      <c r="F47" s="14">
        <f t="shared" si="11"/>
        <v>11425.37</v>
      </c>
      <c r="G47" s="14">
        <f t="shared" si="11"/>
        <v>-13245.43</v>
      </c>
      <c r="H47" s="14">
        <f t="shared" si="11"/>
        <v>0</v>
      </c>
      <c r="I47" s="14">
        <f t="shared" si="11"/>
        <v>0</v>
      </c>
      <c r="J47" s="14">
        <f t="shared" si="11"/>
        <v>0</v>
      </c>
      <c r="K47" s="14">
        <f t="shared" si="11"/>
        <v>0</v>
      </c>
      <c r="L47" s="14">
        <f t="shared" si="11"/>
        <v>23853</v>
      </c>
      <c r="M47" s="14">
        <f t="shared" si="11"/>
        <v>12410</v>
      </c>
      <c r="N47" s="14">
        <f t="shared" si="5"/>
        <v>34442.94</v>
      </c>
    </row>
    <row r="48" spans="1:14" ht="15.75" customHeight="1" x14ac:dyDescent="0.3">
      <c r="A48" s="11" t="s">
        <v>279</v>
      </c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3">
        <f t="shared" si="5"/>
        <v>0</v>
      </c>
    </row>
    <row r="49" spans="1:14" ht="15.75" customHeight="1" x14ac:dyDescent="0.3">
      <c r="A49" s="11" t="s">
        <v>280</v>
      </c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>
        <f t="shared" si="5"/>
        <v>0</v>
      </c>
    </row>
    <row r="50" spans="1:14" ht="15.75" customHeight="1" x14ac:dyDescent="0.3">
      <c r="A50" s="11" t="s">
        <v>281</v>
      </c>
      <c r="B50" s="14">
        <f t="shared" ref="B50:M50" si="12">(B48)+(B49)</f>
        <v>0</v>
      </c>
      <c r="C50" s="14">
        <f t="shared" si="12"/>
        <v>0</v>
      </c>
      <c r="D50" s="14">
        <f t="shared" si="12"/>
        <v>0</v>
      </c>
      <c r="E50" s="14">
        <f t="shared" si="12"/>
        <v>0</v>
      </c>
      <c r="F50" s="14">
        <f t="shared" si="12"/>
        <v>0</v>
      </c>
      <c r="G50" s="14">
        <f t="shared" si="12"/>
        <v>0</v>
      </c>
      <c r="H50" s="14">
        <f t="shared" si="12"/>
        <v>0</v>
      </c>
      <c r="I50" s="14">
        <f t="shared" si="12"/>
        <v>0</v>
      </c>
      <c r="J50" s="14">
        <f t="shared" si="12"/>
        <v>0</v>
      </c>
      <c r="K50" s="14">
        <f t="shared" si="12"/>
        <v>0</v>
      </c>
      <c r="L50" s="14">
        <f t="shared" si="12"/>
        <v>0</v>
      </c>
      <c r="M50" s="14">
        <f t="shared" si="12"/>
        <v>0</v>
      </c>
      <c r="N50" s="14">
        <f t="shared" si="5"/>
        <v>0</v>
      </c>
    </row>
    <row r="51" spans="1:14" ht="15.75" customHeight="1" x14ac:dyDescent="0.3">
      <c r="A51" s="11" t="s">
        <v>290</v>
      </c>
      <c r="B51" s="13">
        <f>0</f>
        <v>0</v>
      </c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3">
        <f t="shared" si="5"/>
        <v>0</v>
      </c>
    </row>
    <row r="52" spans="1:14" ht="15.75" customHeight="1" x14ac:dyDescent="0.3">
      <c r="A52" s="11" t="s">
        <v>282</v>
      </c>
      <c r="B52" s="14">
        <f t="shared" ref="B52:M52" si="13">(((((((((((((B19)+(B20))+(B21))+(B25))+(B26))+(B27))+(B28))+(B29))+(B30))+(B37))+(B43))+(B47))+(B50))+(B51)</f>
        <v>7070.8600000000006</v>
      </c>
      <c r="C52" s="14">
        <f t="shared" si="13"/>
        <v>12826.830000000002</v>
      </c>
      <c r="D52" s="14">
        <f t="shared" si="13"/>
        <v>12946.249999999998</v>
      </c>
      <c r="E52" s="14">
        <f t="shared" si="13"/>
        <v>12836.83</v>
      </c>
      <c r="F52" s="14">
        <f t="shared" si="13"/>
        <v>20213.400000000001</v>
      </c>
      <c r="G52" s="14">
        <f t="shared" si="13"/>
        <v>-3865.2999999999993</v>
      </c>
      <c r="H52" s="14">
        <f t="shared" si="13"/>
        <v>9012.24</v>
      </c>
      <c r="I52" s="14">
        <f t="shared" si="13"/>
        <v>18070.400000000001</v>
      </c>
      <c r="J52" s="14">
        <f t="shared" si="13"/>
        <v>7801.08</v>
      </c>
      <c r="K52" s="14">
        <f t="shared" si="13"/>
        <v>11859.09</v>
      </c>
      <c r="L52" s="14">
        <f t="shared" si="13"/>
        <v>33515.509999999995</v>
      </c>
      <c r="M52" s="14">
        <f t="shared" si="13"/>
        <v>25153.81</v>
      </c>
      <c r="N52" s="14">
        <f t="shared" si="5"/>
        <v>167441</v>
      </c>
    </row>
    <row r="53" spans="1:14" ht="15.75" customHeight="1" x14ac:dyDescent="0.3">
      <c r="A53" s="11" t="s">
        <v>0</v>
      </c>
      <c r="B53" s="14">
        <f t="shared" ref="B53:M53" si="14">(B15)-(B52)</f>
        <v>21415.46</v>
      </c>
      <c r="C53" s="14">
        <f t="shared" si="14"/>
        <v>15206.849999999999</v>
      </c>
      <c r="D53" s="14">
        <f t="shared" si="14"/>
        <v>13471.750000000002</v>
      </c>
      <c r="E53" s="14">
        <f t="shared" si="14"/>
        <v>15176.449999999999</v>
      </c>
      <c r="F53" s="14">
        <f t="shared" si="14"/>
        <v>9934.3299999999981</v>
      </c>
      <c r="G53" s="14">
        <f t="shared" si="14"/>
        <v>45928.17</v>
      </c>
      <c r="H53" s="14">
        <f t="shared" si="14"/>
        <v>22730.03</v>
      </c>
      <c r="I53" s="14">
        <f t="shared" si="14"/>
        <v>7045.239999999998</v>
      </c>
      <c r="J53" s="14">
        <f t="shared" si="14"/>
        <v>20380.080000000002</v>
      </c>
      <c r="K53" s="14">
        <f t="shared" si="14"/>
        <v>18870.439999999999</v>
      </c>
      <c r="L53" s="14">
        <f t="shared" si="14"/>
        <v>-6306.8699999999953</v>
      </c>
      <c r="M53" s="14">
        <f t="shared" si="14"/>
        <v>-1628.3199999999997</v>
      </c>
      <c r="N53" s="14">
        <f t="shared" si="5"/>
        <v>182223.61</v>
      </c>
    </row>
    <row r="54" spans="1:14" ht="15.75" customHeight="1" x14ac:dyDescent="0.3">
      <c r="A54" s="11" t="s">
        <v>283</v>
      </c>
      <c r="B54" s="14">
        <f t="shared" ref="B54:M54" si="15">(B53)+(0)</f>
        <v>21415.46</v>
      </c>
      <c r="C54" s="14">
        <f t="shared" si="15"/>
        <v>15206.849999999999</v>
      </c>
      <c r="D54" s="14">
        <f t="shared" si="15"/>
        <v>13471.750000000002</v>
      </c>
      <c r="E54" s="14">
        <f t="shared" si="15"/>
        <v>15176.449999999999</v>
      </c>
      <c r="F54" s="14">
        <f t="shared" si="15"/>
        <v>9934.3299999999981</v>
      </c>
      <c r="G54" s="14">
        <f t="shared" si="15"/>
        <v>45928.17</v>
      </c>
      <c r="H54" s="14">
        <f t="shared" si="15"/>
        <v>22730.03</v>
      </c>
      <c r="I54" s="14">
        <f t="shared" si="15"/>
        <v>7045.239999999998</v>
      </c>
      <c r="J54" s="14">
        <f t="shared" si="15"/>
        <v>20380.080000000002</v>
      </c>
      <c r="K54" s="14">
        <f t="shared" si="15"/>
        <v>18870.439999999999</v>
      </c>
      <c r="L54" s="14">
        <f t="shared" si="15"/>
        <v>-6306.8699999999953</v>
      </c>
      <c r="M54" s="14">
        <f t="shared" si="15"/>
        <v>-1628.3199999999997</v>
      </c>
      <c r="N54" s="14">
        <f t="shared" si="5"/>
        <v>182223.61</v>
      </c>
    </row>
    <row r="55" spans="1:14" ht="15.75" customHeight="1" x14ac:dyDescent="0.3">
      <c r="A55" s="11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</row>
    <row r="56" spans="1:14" ht="15.75" customHeight="1" x14ac:dyDescent="0.3"/>
    <row r="57" spans="1:14" ht="15.75" customHeight="1" x14ac:dyDescent="0.3"/>
    <row r="58" spans="1:14" ht="15.75" customHeight="1" x14ac:dyDescent="0.3">
      <c r="A58" s="23" t="s">
        <v>291</v>
      </c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</row>
    <row r="59" spans="1:14" ht="15.75" customHeight="1" x14ac:dyDescent="0.3"/>
    <row r="60" spans="1:14" ht="15.75" customHeight="1" x14ac:dyDescent="0.3"/>
    <row r="61" spans="1:14" ht="15.75" customHeight="1" x14ac:dyDescent="0.3"/>
    <row r="62" spans="1:14" ht="15.75" customHeight="1" x14ac:dyDescent="0.3"/>
    <row r="63" spans="1:14" ht="15.75" customHeight="1" x14ac:dyDescent="0.3"/>
    <row r="64" spans="1:1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mergeCells count="4">
    <mergeCell ref="A1:N1"/>
    <mergeCell ref="A2:N2"/>
    <mergeCell ref="A3:N3"/>
    <mergeCell ref="A58:N58"/>
  </mergeCells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1000"/>
  <sheetViews>
    <sheetView workbookViewId="0"/>
  </sheetViews>
  <sheetFormatPr defaultColWidth="14.44140625" defaultRowHeight="15" customHeight="1" x14ac:dyDescent="0.3"/>
  <cols>
    <col min="1" max="1" width="34.44140625" customWidth="1"/>
    <col min="2" max="8" width="9.44140625" customWidth="1"/>
    <col min="9" max="9" width="10.33203125" customWidth="1"/>
    <col min="10" max="13" width="9.44140625" customWidth="1"/>
    <col min="14" max="14" width="10.33203125" customWidth="1"/>
    <col min="15" max="26" width="8.6640625" customWidth="1"/>
  </cols>
  <sheetData>
    <row r="1" spans="1:14" ht="17.399999999999999" x14ac:dyDescent="0.3">
      <c r="A1" s="21" t="s">
        <v>220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</row>
    <row r="2" spans="1:14" ht="17.399999999999999" x14ac:dyDescent="0.3">
      <c r="A2" s="21" t="s">
        <v>221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</row>
    <row r="3" spans="1:14" ht="14.4" x14ac:dyDescent="0.3">
      <c r="A3" s="22" t="s">
        <v>292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</row>
    <row r="5" spans="1:14" ht="14.4" x14ac:dyDescent="0.3">
      <c r="A5" s="9"/>
      <c r="B5" s="10" t="s">
        <v>293</v>
      </c>
      <c r="C5" s="10" t="s">
        <v>294</v>
      </c>
      <c r="D5" s="10" t="s">
        <v>295</v>
      </c>
      <c r="E5" s="10" t="s">
        <v>296</v>
      </c>
      <c r="F5" s="10" t="s">
        <v>297</v>
      </c>
      <c r="G5" s="10" t="s">
        <v>298</v>
      </c>
      <c r="H5" s="10" t="s">
        <v>299</v>
      </c>
      <c r="I5" s="10" t="s">
        <v>300</v>
      </c>
      <c r="J5" s="10" t="s">
        <v>301</v>
      </c>
      <c r="K5" s="10" t="s">
        <v>302</v>
      </c>
      <c r="L5" s="10" t="s">
        <v>303</v>
      </c>
      <c r="M5" s="10" t="s">
        <v>304</v>
      </c>
      <c r="N5" s="10" t="s">
        <v>17</v>
      </c>
    </row>
    <row r="6" spans="1:14" ht="14.4" x14ac:dyDescent="0.3">
      <c r="A6" s="11" t="s">
        <v>236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</row>
    <row r="7" spans="1:14" ht="14.4" x14ac:dyDescent="0.3">
      <c r="A7" s="11" t="s">
        <v>237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3">
        <f t="shared" ref="N7:N11" si="0">(((((((((((B7)+(C7))+(D7))+(E7))+(F7))+(G7))+(H7))+(I7))+(J7))+(K7))+(L7))+(M7)</f>
        <v>0</v>
      </c>
    </row>
    <row r="8" spans="1:14" ht="14.4" x14ac:dyDescent="0.3">
      <c r="A8" s="11" t="s">
        <v>238</v>
      </c>
      <c r="B8" s="13">
        <f>24439.84</f>
        <v>24439.84</v>
      </c>
      <c r="C8" s="13">
        <f>22751.54</f>
        <v>22751.54</v>
      </c>
      <c r="D8" s="13">
        <f>26983.72</f>
        <v>26983.72</v>
      </c>
      <c r="E8" s="13">
        <f>25547.51</f>
        <v>25547.51</v>
      </c>
      <c r="F8" s="13">
        <f>27113.94</f>
        <v>27113.94</v>
      </c>
      <c r="G8" s="13">
        <f>30745.92</f>
        <v>30745.919999999998</v>
      </c>
      <c r="H8" s="13">
        <f>32649</f>
        <v>32649</v>
      </c>
      <c r="I8" s="13">
        <f>26070.61</f>
        <v>26070.61</v>
      </c>
      <c r="J8" s="13">
        <f>33949.14</f>
        <v>33949.14</v>
      </c>
      <c r="K8" s="13">
        <f>27808.76</f>
        <v>27808.76</v>
      </c>
      <c r="L8" s="13">
        <f>27035</f>
        <v>27035</v>
      </c>
      <c r="M8" s="13">
        <f>30606</f>
        <v>30606</v>
      </c>
      <c r="N8" s="13">
        <f t="shared" si="0"/>
        <v>335700.98000000004</v>
      </c>
    </row>
    <row r="9" spans="1:14" ht="14.4" x14ac:dyDescent="0.3">
      <c r="A9" s="11" t="s">
        <v>239</v>
      </c>
      <c r="B9" s="12"/>
      <c r="C9" s="12"/>
      <c r="D9" s="12"/>
      <c r="E9" s="12"/>
      <c r="F9" s="12"/>
      <c r="G9" s="12"/>
      <c r="H9" s="12"/>
      <c r="I9" s="13">
        <f>-835</f>
        <v>-835</v>
      </c>
      <c r="J9" s="13">
        <f>-1650</f>
        <v>-1650</v>
      </c>
      <c r="K9" s="12"/>
      <c r="L9" s="12"/>
      <c r="M9" s="12"/>
      <c r="N9" s="13">
        <f t="shared" si="0"/>
        <v>-2485</v>
      </c>
    </row>
    <row r="10" spans="1:14" ht="14.4" x14ac:dyDescent="0.3">
      <c r="A10" s="11" t="s">
        <v>240</v>
      </c>
      <c r="B10" s="14">
        <f t="shared" ref="B10:M10" si="1">((B7)+(B8))+(B9)</f>
        <v>24439.84</v>
      </c>
      <c r="C10" s="14">
        <f t="shared" si="1"/>
        <v>22751.54</v>
      </c>
      <c r="D10" s="14">
        <f t="shared" si="1"/>
        <v>26983.72</v>
      </c>
      <c r="E10" s="14">
        <f t="shared" si="1"/>
        <v>25547.51</v>
      </c>
      <c r="F10" s="14">
        <f t="shared" si="1"/>
        <v>27113.94</v>
      </c>
      <c r="G10" s="14">
        <f t="shared" si="1"/>
        <v>30745.919999999998</v>
      </c>
      <c r="H10" s="14">
        <f t="shared" si="1"/>
        <v>32649</v>
      </c>
      <c r="I10" s="14">
        <f t="shared" si="1"/>
        <v>25235.61</v>
      </c>
      <c r="J10" s="14">
        <f t="shared" si="1"/>
        <v>32299.14</v>
      </c>
      <c r="K10" s="14">
        <f t="shared" si="1"/>
        <v>27808.76</v>
      </c>
      <c r="L10" s="14">
        <f t="shared" si="1"/>
        <v>27035</v>
      </c>
      <c r="M10" s="14">
        <f t="shared" si="1"/>
        <v>30606</v>
      </c>
      <c r="N10" s="14">
        <f t="shared" si="0"/>
        <v>333215.98000000004</v>
      </c>
    </row>
    <row r="11" spans="1:14" ht="14.4" x14ac:dyDescent="0.3">
      <c r="A11" s="11" t="s">
        <v>245</v>
      </c>
      <c r="B11" s="14">
        <f t="shared" ref="B11:M11" si="2">B10</f>
        <v>24439.84</v>
      </c>
      <c r="C11" s="14">
        <f t="shared" si="2"/>
        <v>22751.54</v>
      </c>
      <c r="D11" s="14">
        <f t="shared" si="2"/>
        <v>26983.72</v>
      </c>
      <c r="E11" s="14">
        <f t="shared" si="2"/>
        <v>25547.51</v>
      </c>
      <c r="F11" s="14">
        <f t="shared" si="2"/>
        <v>27113.94</v>
      </c>
      <c r="G11" s="14">
        <f t="shared" si="2"/>
        <v>30745.919999999998</v>
      </c>
      <c r="H11" s="14">
        <f t="shared" si="2"/>
        <v>32649</v>
      </c>
      <c r="I11" s="14">
        <f t="shared" si="2"/>
        <v>25235.61</v>
      </c>
      <c r="J11" s="14">
        <f t="shared" si="2"/>
        <v>32299.14</v>
      </c>
      <c r="K11" s="14">
        <f t="shared" si="2"/>
        <v>27808.76</v>
      </c>
      <c r="L11" s="14">
        <f t="shared" si="2"/>
        <v>27035</v>
      </c>
      <c r="M11" s="14">
        <f t="shared" si="2"/>
        <v>30606</v>
      </c>
      <c r="N11" s="14">
        <f t="shared" si="0"/>
        <v>333215.98000000004</v>
      </c>
    </row>
    <row r="12" spans="1:14" ht="14.4" x14ac:dyDescent="0.3">
      <c r="A12" s="11" t="s">
        <v>305</v>
      </c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</row>
    <row r="13" spans="1:14" ht="14.4" x14ac:dyDescent="0.3">
      <c r="A13" s="11" t="s">
        <v>306</v>
      </c>
      <c r="B13" s="12"/>
      <c r="C13" s="12"/>
      <c r="D13" s="12"/>
      <c r="E13" s="12"/>
      <c r="F13" s="12"/>
      <c r="G13" s="13">
        <f>1093</f>
        <v>1093</v>
      </c>
      <c r="H13" s="12"/>
      <c r="I13" s="12"/>
      <c r="J13" s="12"/>
      <c r="K13" s="12"/>
      <c r="L13" s="12"/>
      <c r="M13" s="12"/>
      <c r="N13" s="13">
        <f t="shared" ref="N13:N15" si="3">(((((((((((B13)+(C13))+(D13))+(E13))+(F13))+(G13))+(H13))+(I13))+(J13))+(K13))+(L13))+(M13)</f>
        <v>1093</v>
      </c>
    </row>
    <row r="14" spans="1:14" ht="14.4" x14ac:dyDescent="0.3">
      <c r="A14" s="11" t="s">
        <v>307</v>
      </c>
      <c r="B14" s="14">
        <f t="shared" ref="B14:M14" si="4">B13</f>
        <v>0</v>
      </c>
      <c r="C14" s="14">
        <f t="shared" si="4"/>
        <v>0</v>
      </c>
      <c r="D14" s="14">
        <f t="shared" si="4"/>
        <v>0</v>
      </c>
      <c r="E14" s="14">
        <f t="shared" si="4"/>
        <v>0</v>
      </c>
      <c r="F14" s="14">
        <f t="shared" si="4"/>
        <v>0</v>
      </c>
      <c r="G14" s="14">
        <f t="shared" si="4"/>
        <v>1093</v>
      </c>
      <c r="H14" s="14">
        <f t="shared" si="4"/>
        <v>0</v>
      </c>
      <c r="I14" s="14">
        <f t="shared" si="4"/>
        <v>0</v>
      </c>
      <c r="J14" s="14">
        <f t="shared" si="4"/>
        <v>0</v>
      </c>
      <c r="K14" s="14">
        <f t="shared" si="4"/>
        <v>0</v>
      </c>
      <c r="L14" s="14">
        <f t="shared" si="4"/>
        <v>0</v>
      </c>
      <c r="M14" s="14">
        <f t="shared" si="4"/>
        <v>0</v>
      </c>
      <c r="N14" s="14">
        <f t="shared" si="3"/>
        <v>1093</v>
      </c>
    </row>
    <row r="15" spans="1:14" ht="14.4" x14ac:dyDescent="0.3">
      <c r="A15" s="11" t="s">
        <v>246</v>
      </c>
      <c r="B15" s="14">
        <f t="shared" ref="B15:M15" si="5">(B11)-(B14)</f>
        <v>24439.84</v>
      </c>
      <c r="C15" s="14">
        <f t="shared" si="5"/>
        <v>22751.54</v>
      </c>
      <c r="D15" s="14">
        <f t="shared" si="5"/>
        <v>26983.72</v>
      </c>
      <c r="E15" s="14">
        <f t="shared" si="5"/>
        <v>25547.51</v>
      </c>
      <c r="F15" s="14">
        <f t="shared" si="5"/>
        <v>27113.94</v>
      </c>
      <c r="G15" s="14">
        <f t="shared" si="5"/>
        <v>29652.92</v>
      </c>
      <c r="H15" s="14">
        <f t="shared" si="5"/>
        <v>32649</v>
      </c>
      <c r="I15" s="14">
        <f t="shared" si="5"/>
        <v>25235.61</v>
      </c>
      <c r="J15" s="14">
        <f t="shared" si="5"/>
        <v>32299.14</v>
      </c>
      <c r="K15" s="14">
        <f t="shared" si="5"/>
        <v>27808.76</v>
      </c>
      <c r="L15" s="14">
        <f t="shared" si="5"/>
        <v>27035</v>
      </c>
      <c r="M15" s="14">
        <f t="shared" si="5"/>
        <v>30606</v>
      </c>
      <c r="N15" s="14">
        <f t="shared" si="3"/>
        <v>332122.98000000004</v>
      </c>
    </row>
    <row r="16" spans="1:14" ht="14.4" x14ac:dyDescent="0.3">
      <c r="A16" s="11" t="s">
        <v>247</v>
      </c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</row>
    <row r="17" spans="1:14" ht="14.4" x14ac:dyDescent="0.3">
      <c r="A17" s="11" t="s">
        <v>248</v>
      </c>
      <c r="B17" s="12"/>
      <c r="C17" s="12"/>
      <c r="D17" s="12"/>
      <c r="E17" s="12"/>
      <c r="F17" s="12"/>
      <c r="G17" s="12"/>
      <c r="H17" s="12"/>
      <c r="I17" s="13">
        <f>113.87</f>
        <v>113.87</v>
      </c>
      <c r="J17" s="12"/>
      <c r="K17" s="12"/>
      <c r="L17" s="12"/>
      <c r="M17" s="12"/>
      <c r="N17" s="13">
        <f t="shared" ref="N17:N54" si="6">(((((((((((B17)+(C17))+(D17))+(E17))+(F17))+(G17))+(H17))+(I17))+(J17))+(K17))+(L17))+(M17)</f>
        <v>113.87</v>
      </c>
    </row>
    <row r="18" spans="1:14" ht="14.4" x14ac:dyDescent="0.3">
      <c r="A18" s="11" t="s">
        <v>249</v>
      </c>
      <c r="B18" s="12"/>
      <c r="C18" s="12"/>
      <c r="D18" s="12"/>
      <c r="E18" s="12"/>
      <c r="F18" s="12"/>
      <c r="G18" s="13">
        <f>394.28</f>
        <v>394.28</v>
      </c>
      <c r="H18" s="12"/>
      <c r="I18" s="12"/>
      <c r="J18" s="12"/>
      <c r="K18" s="12"/>
      <c r="L18" s="12"/>
      <c r="M18" s="12"/>
      <c r="N18" s="13">
        <f t="shared" si="6"/>
        <v>394.28</v>
      </c>
    </row>
    <row r="19" spans="1:14" ht="14.4" x14ac:dyDescent="0.3">
      <c r="A19" s="11" t="s">
        <v>250</v>
      </c>
      <c r="B19" s="14">
        <f t="shared" ref="B19:M19" si="7">(B17)+(B18)</f>
        <v>0</v>
      </c>
      <c r="C19" s="14">
        <f t="shared" si="7"/>
        <v>0</v>
      </c>
      <c r="D19" s="14">
        <f t="shared" si="7"/>
        <v>0</v>
      </c>
      <c r="E19" s="14">
        <f t="shared" si="7"/>
        <v>0</v>
      </c>
      <c r="F19" s="14">
        <f t="shared" si="7"/>
        <v>0</v>
      </c>
      <c r="G19" s="14">
        <f t="shared" si="7"/>
        <v>394.28</v>
      </c>
      <c r="H19" s="14">
        <f t="shared" si="7"/>
        <v>0</v>
      </c>
      <c r="I19" s="14">
        <f t="shared" si="7"/>
        <v>113.87</v>
      </c>
      <c r="J19" s="14">
        <f t="shared" si="7"/>
        <v>0</v>
      </c>
      <c r="K19" s="14">
        <f t="shared" si="7"/>
        <v>0</v>
      </c>
      <c r="L19" s="14">
        <f t="shared" si="7"/>
        <v>0</v>
      </c>
      <c r="M19" s="14">
        <f t="shared" si="7"/>
        <v>0</v>
      </c>
      <c r="N19" s="14">
        <f t="shared" si="6"/>
        <v>508.15</v>
      </c>
    </row>
    <row r="20" spans="1:14" ht="14.4" x14ac:dyDescent="0.3">
      <c r="A20" s="11" t="s">
        <v>251</v>
      </c>
      <c r="B20" s="12"/>
      <c r="C20" s="12"/>
      <c r="D20" s="12"/>
      <c r="E20" s="12"/>
      <c r="F20" s="12"/>
      <c r="G20" s="13">
        <f>53</f>
        <v>53</v>
      </c>
      <c r="H20" s="12"/>
      <c r="I20" s="12"/>
      <c r="J20" s="12"/>
      <c r="K20" s="12"/>
      <c r="L20" s="12"/>
      <c r="M20" s="12"/>
      <c r="N20" s="13">
        <f t="shared" si="6"/>
        <v>53</v>
      </c>
    </row>
    <row r="21" spans="1:14" ht="15.75" customHeight="1" x14ac:dyDescent="0.3">
      <c r="A21" s="11" t="s">
        <v>252</v>
      </c>
      <c r="B21" s="13">
        <f>20</f>
        <v>20</v>
      </c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3">
        <f t="shared" si="6"/>
        <v>20</v>
      </c>
    </row>
    <row r="22" spans="1:14" ht="15.75" customHeight="1" x14ac:dyDescent="0.3">
      <c r="A22" s="11" t="s">
        <v>254</v>
      </c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3">
        <f t="shared" si="6"/>
        <v>0</v>
      </c>
    </row>
    <row r="23" spans="1:14" ht="15.75" customHeight="1" x14ac:dyDescent="0.3">
      <c r="A23" s="11" t="s">
        <v>255</v>
      </c>
      <c r="B23" s="13">
        <f>1685.7</f>
        <v>1685.7</v>
      </c>
      <c r="C23" s="13">
        <f t="shared" ref="C23:D23" si="8">1704.88</f>
        <v>1704.88</v>
      </c>
      <c r="D23" s="13">
        <f t="shared" si="8"/>
        <v>1704.88</v>
      </c>
      <c r="E23" s="13">
        <f>1693.84</f>
        <v>1693.84</v>
      </c>
      <c r="F23" s="13">
        <f>1995.2</f>
        <v>1995.2</v>
      </c>
      <c r="G23" s="13">
        <f>2237.48</f>
        <v>2237.48</v>
      </c>
      <c r="H23" s="13">
        <f>1759.28</f>
        <v>1759.28</v>
      </c>
      <c r="I23" s="13">
        <f>2094.56</f>
        <v>2094.56</v>
      </c>
      <c r="J23" s="13">
        <f>1649.28</f>
        <v>1649.28</v>
      </c>
      <c r="K23" s="12"/>
      <c r="L23" s="13">
        <f>1849.44</f>
        <v>1849.44</v>
      </c>
      <c r="M23" s="13">
        <f>1868.72</f>
        <v>1868.72</v>
      </c>
      <c r="N23" s="13">
        <f t="shared" si="6"/>
        <v>20243.259999999998</v>
      </c>
    </row>
    <row r="24" spans="1:14" ht="15.75" customHeight="1" x14ac:dyDescent="0.3">
      <c r="A24" s="11" t="s">
        <v>256</v>
      </c>
      <c r="B24" s="12"/>
      <c r="C24" s="13">
        <f>2200</f>
        <v>2200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3">
        <f t="shared" si="6"/>
        <v>2200</v>
      </c>
    </row>
    <row r="25" spans="1:14" ht="15.75" customHeight="1" x14ac:dyDescent="0.3">
      <c r="A25" s="11" t="s">
        <v>257</v>
      </c>
      <c r="B25" s="14">
        <f t="shared" ref="B25:M25" si="9">((B22)+(B23))+(B24)</f>
        <v>1685.7</v>
      </c>
      <c r="C25" s="14">
        <f t="shared" si="9"/>
        <v>3904.88</v>
      </c>
      <c r="D25" s="14">
        <f t="shared" si="9"/>
        <v>1704.88</v>
      </c>
      <c r="E25" s="14">
        <f t="shared" si="9"/>
        <v>1693.84</v>
      </c>
      <c r="F25" s="14">
        <f t="shared" si="9"/>
        <v>1995.2</v>
      </c>
      <c r="G25" s="14">
        <f t="shared" si="9"/>
        <v>2237.48</v>
      </c>
      <c r="H25" s="14">
        <f t="shared" si="9"/>
        <v>1759.28</v>
      </c>
      <c r="I25" s="14">
        <f t="shared" si="9"/>
        <v>2094.56</v>
      </c>
      <c r="J25" s="14">
        <f t="shared" si="9"/>
        <v>1649.28</v>
      </c>
      <c r="K25" s="14">
        <f t="shared" si="9"/>
        <v>0</v>
      </c>
      <c r="L25" s="14">
        <f t="shared" si="9"/>
        <v>1849.44</v>
      </c>
      <c r="M25" s="14">
        <f t="shared" si="9"/>
        <v>1868.72</v>
      </c>
      <c r="N25" s="14">
        <f t="shared" si="6"/>
        <v>22443.26</v>
      </c>
    </row>
    <row r="26" spans="1:14" ht="15.75" customHeight="1" x14ac:dyDescent="0.3">
      <c r="A26" s="11" t="s">
        <v>258</v>
      </c>
      <c r="B26" s="13">
        <f>298.55</f>
        <v>298.55</v>
      </c>
      <c r="C26" s="13">
        <f>517.68</f>
        <v>517.67999999999995</v>
      </c>
      <c r="D26" s="13">
        <f>80</f>
        <v>80</v>
      </c>
      <c r="E26" s="13">
        <f>9398.47</f>
        <v>9398.4699999999993</v>
      </c>
      <c r="F26" s="13">
        <f>2625.59</f>
        <v>2625.59</v>
      </c>
      <c r="G26" s="12"/>
      <c r="H26" s="13">
        <f>1641.33</f>
        <v>1641.33</v>
      </c>
      <c r="I26" s="13">
        <f>999</f>
        <v>999</v>
      </c>
      <c r="J26" s="13">
        <f>910.28</f>
        <v>910.28</v>
      </c>
      <c r="K26" s="13">
        <f>3662.15</f>
        <v>3662.15</v>
      </c>
      <c r="L26" s="13">
        <f>895.61</f>
        <v>895.61</v>
      </c>
      <c r="M26" s="13">
        <f>1423.41</f>
        <v>1423.41</v>
      </c>
      <c r="N26" s="13">
        <f t="shared" si="6"/>
        <v>22452.07</v>
      </c>
    </row>
    <row r="27" spans="1:14" ht="15.75" customHeight="1" x14ac:dyDescent="0.3">
      <c r="A27" s="11" t="s">
        <v>260</v>
      </c>
      <c r="B27" s="12"/>
      <c r="C27" s="13">
        <f>10.48</f>
        <v>10.48</v>
      </c>
      <c r="D27" s="12"/>
      <c r="E27" s="12"/>
      <c r="F27" s="13">
        <f>8.75</f>
        <v>8.75</v>
      </c>
      <c r="G27" s="13">
        <f>6.45</f>
        <v>6.45</v>
      </c>
      <c r="H27" s="13">
        <f>43.93</f>
        <v>43.93</v>
      </c>
      <c r="I27" s="13">
        <f>7.06</f>
        <v>7.06</v>
      </c>
      <c r="J27" s="13">
        <f>22.39</f>
        <v>22.39</v>
      </c>
      <c r="K27" s="13">
        <f>57.38</f>
        <v>57.38</v>
      </c>
      <c r="L27" s="13">
        <f>71.61</f>
        <v>71.61</v>
      </c>
      <c r="M27" s="13">
        <f>9.61</f>
        <v>9.61</v>
      </c>
      <c r="N27" s="13">
        <f t="shared" si="6"/>
        <v>237.66000000000003</v>
      </c>
    </row>
    <row r="28" spans="1:14" ht="15.75" customHeight="1" x14ac:dyDescent="0.3">
      <c r="A28" s="11" t="s">
        <v>261</v>
      </c>
      <c r="B28" s="12"/>
      <c r="C28" s="13">
        <f>70.52</f>
        <v>70.52</v>
      </c>
      <c r="D28" s="12"/>
      <c r="E28" s="13">
        <f>100.79</f>
        <v>100.79</v>
      </c>
      <c r="F28" s="12"/>
      <c r="G28" s="12"/>
      <c r="H28" s="12"/>
      <c r="I28" s="12"/>
      <c r="J28" s="12"/>
      <c r="K28" s="12"/>
      <c r="L28" s="13">
        <f>193.49</f>
        <v>193.49</v>
      </c>
      <c r="M28" s="12"/>
      <c r="N28" s="13">
        <f t="shared" si="6"/>
        <v>364.8</v>
      </c>
    </row>
    <row r="29" spans="1:14" ht="15.75" customHeight="1" x14ac:dyDescent="0.3">
      <c r="A29" s="11" t="s">
        <v>262</v>
      </c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3">
        <f t="shared" si="6"/>
        <v>0</v>
      </c>
    </row>
    <row r="30" spans="1:14" ht="15.75" customHeight="1" x14ac:dyDescent="0.3">
      <c r="A30" s="11" t="s">
        <v>263</v>
      </c>
      <c r="B30" s="13">
        <f>4370.93</f>
        <v>4370.93</v>
      </c>
      <c r="C30" s="13">
        <f>3313.03</f>
        <v>3313.03</v>
      </c>
      <c r="D30" s="13">
        <f>3336.51</f>
        <v>3336.51</v>
      </c>
      <c r="E30" s="13">
        <f>2587.39</f>
        <v>2587.39</v>
      </c>
      <c r="F30" s="13">
        <f>1232.44</f>
        <v>1232.44</v>
      </c>
      <c r="G30" s="13">
        <f>1216.47</f>
        <v>1216.47</v>
      </c>
      <c r="H30" s="13">
        <f>1719.11</f>
        <v>1719.11</v>
      </c>
      <c r="I30" s="13">
        <f>1989.24</f>
        <v>1989.24</v>
      </c>
      <c r="J30" s="13">
        <f>2027.6</f>
        <v>2027.6</v>
      </c>
      <c r="K30" s="13">
        <f>1908.63</f>
        <v>1908.63</v>
      </c>
      <c r="L30" s="13">
        <f>1163.98</f>
        <v>1163.98</v>
      </c>
      <c r="M30" s="13">
        <f>2311.25</f>
        <v>2311.25</v>
      </c>
      <c r="N30" s="13">
        <f t="shared" si="6"/>
        <v>27176.58</v>
      </c>
    </row>
    <row r="31" spans="1:14" ht="15.75" customHeight="1" x14ac:dyDescent="0.3">
      <c r="A31" s="11" t="s">
        <v>264</v>
      </c>
      <c r="B31" s="13">
        <f>386.82</f>
        <v>386.82</v>
      </c>
      <c r="C31" s="13">
        <f>445.71</f>
        <v>445.71</v>
      </c>
      <c r="D31" s="13">
        <f>398.82</f>
        <v>398.82</v>
      </c>
      <c r="E31" s="13">
        <f>374.04</f>
        <v>374.04</v>
      </c>
      <c r="F31" s="13">
        <f>382.37</f>
        <v>382.37</v>
      </c>
      <c r="G31" s="13">
        <f>307.14</f>
        <v>307.14</v>
      </c>
      <c r="H31" s="13">
        <f>305.54</f>
        <v>305.54000000000002</v>
      </c>
      <c r="I31" s="13">
        <f>232.6</f>
        <v>232.6</v>
      </c>
      <c r="J31" s="13">
        <f>210.72</f>
        <v>210.72</v>
      </c>
      <c r="K31" s="13">
        <f>201.55</f>
        <v>201.55</v>
      </c>
      <c r="L31" s="13">
        <f>198.55</f>
        <v>198.55</v>
      </c>
      <c r="M31" s="13">
        <f>250.57</f>
        <v>250.57</v>
      </c>
      <c r="N31" s="13">
        <f t="shared" si="6"/>
        <v>3694.43</v>
      </c>
    </row>
    <row r="32" spans="1:14" ht="15.75" customHeight="1" x14ac:dyDescent="0.3">
      <c r="A32" s="11" t="s">
        <v>265</v>
      </c>
      <c r="B32" s="13">
        <f>1072.57</f>
        <v>1072.57</v>
      </c>
      <c r="C32" s="13">
        <f>1186.47</f>
        <v>1186.47</v>
      </c>
      <c r="D32" s="13">
        <f>1135.85</f>
        <v>1135.8499999999999</v>
      </c>
      <c r="E32" s="13">
        <f>860.58</f>
        <v>860.58</v>
      </c>
      <c r="F32" s="13">
        <f>805.82</f>
        <v>805.82</v>
      </c>
      <c r="G32" s="13">
        <f>928.03</f>
        <v>928.03</v>
      </c>
      <c r="H32" s="13">
        <f>1844.08</f>
        <v>1844.08</v>
      </c>
      <c r="I32" s="13">
        <f>376.73</f>
        <v>376.73</v>
      </c>
      <c r="J32" s="13">
        <f>1650.03</f>
        <v>1650.03</v>
      </c>
      <c r="K32" s="13">
        <f>1156.77</f>
        <v>1156.77</v>
      </c>
      <c r="L32" s="13">
        <f>1330.86</f>
        <v>1330.86</v>
      </c>
      <c r="M32" s="13">
        <f>1379.22</f>
        <v>1379.22</v>
      </c>
      <c r="N32" s="13">
        <f t="shared" si="6"/>
        <v>13727.01</v>
      </c>
    </row>
    <row r="33" spans="1:14" ht="15.75" customHeight="1" x14ac:dyDescent="0.3">
      <c r="A33" s="11" t="s">
        <v>266</v>
      </c>
      <c r="B33" s="12"/>
      <c r="C33" s="12"/>
      <c r="D33" s="12"/>
      <c r="E33" s="12"/>
      <c r="F33" s="13">
        <f>348.1</f>
        <v>348.1</v>
      </c>
      <c r="G33" s="12"/>
      <c r="H33" s="12"/>
      <c r="I33" s="12"/>
      <c r="J33" s="12"/>
      <c r="K33" s="12"/>
      <c r="L33" s="13">
        <f>249.55</f>
        <v>249.55</v>
      </c>
      <c r="M33" s="12"/>
      <c r="N33" s="13">
        <f t="shared" si="6"/>
        <v>597.65000000000009</v>
      </c>
    </row>
    <row r="34" spans="1:14" ht="15.75" customHeight="1" x14ac:dyDescent="0.3">
      <c r="A34" s="11" t="s">
        <v>267</v>
      </c>
      <c r="B34" s="13">
        <f>982.18</f>
        <v>982.18</v>
      </c>
      <c r="C34" s="13">
        <f>1081.84</f>
        <v>1081.8399999999999</v>
      </c>
      <c r="D34" s="13">
        <f>1062.41</f>
        <v>1062.4100000000001</v>
      </c>
      <c r="E34" s="12"/>
      <c r="F34" s="13">
        <f>2098.95</f>
        <v>2098.9499999999998</v>
      </c>
      <c r="G34" s="13">
        <f>1040.5</f>
        <v>1040.5</v>
      </c>
      <c r="H34" s="13">
        <f>12</f>
        <v>12</v>
      </c>
      <c r="I34" s="13">
        <f>1036.39</f>
        <v>1036.3900000000001</v>
      </c>
      <c r="J34" s="13">
        <f>1053.19</f>
        <v>1053.19</v>
      </c>
      <c r="K34" s="13">
        <f>2292.62</f>
        <v>2292.62</v>
      </c>
      <c r="L34" s="12"/>
      <c r="M34" s="13">
        <f>2119.61</f>
        <v>2119.61</v>
      </c>
      <c r="N34" s="13">
        <f t="shared" si="6"/>
        <v>12779.690000000002</v>
      </c>
    </row>
    <row r="35" spans="1:14" ht="15.75" customHeight="1" x14ac:dyDescent="0.3">
      <c r="A35" s="11" t="s">
        <v>268</v>
      </c>
      <c r="B35" s="14">
        <f t="shared" ref="B35:M35" si="10">(((((B29)+(B30))+(B31))+(B32))+(B33))+(B34)</f>
        <v>6812.5</v>
      </c>
      <c r="C35" s="14">
        <f t="shared" si="10"/>
        <v>6027.05</v>
      </c>
      <c r="D35" s="14">
        <f t="shared" si="10"/>
        <v>5933.59</v>
      </c>
      <c r="E35" s="14">
        <f t="shared" si="10"/>
        <v>3822.0099999999998</v>
      </c>
      <c r="F35" s="14">
        <f t="shared" si="10"/>
        <v>4867.68</v>
      </c>
      <c r="G35" s="14">
        <f t="shared" si="10"/>
        <v>3492.1400000000003</v>
      </c>
      <c r="H35" s="14">
        <f t="shared" si="10"/>
        <v>3880.7299999999996</v>
      </c>
      <c r="I35" s="14">
        <f t="shared" si="10"/>
        <v>3634.96</v>
      </c>
      <c r="J35" s="14">
        <f t="shared" si="10"/>
        <v>4941.5399999999991</v>
      </c>
      <c r="K35" s="14">
        <f t="shared" si="10"/>
        <v>5559.57</v>
      </c>
      <c r="L35" s="14">
        <f t="shared" si="10"/>
        <v>2942.94</v>
      </c>
      <c r="M35" s="14">
        <f t="shared" si="10"/>
        <v>6060.65</v>
      </c>
      <c r="N35" s="14">
        <f t="shared" si="6"/>
        <v>57975.360000000001</v>
      </c>
    </row>
    <row r="36" spans="1:14" ht="15.75" customHeight="1" x14ac:dyDescent="0.3">
      <c r="A36" s="11" t="s">
        <v>269</v>
      </c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3">
        <f t="shared" si="6"/>
        <v>0</v>
      </c>
    </row>
    <row r="37" spans="1:14" ht="15.75" customHeight="1" x14ac:dyDescent="0.3">
      <c r="A37" s="11" t="s">
        <v>270</v>
      </c>
      <c r="B37" s="13">
        <f>517.5</f>
        <v>517.5</v>
      </c>
      <c r="C37" s="13">
        <f>414</f>
        <v>414</v>
      </c>
      <c r="D37" s="13">
        <f>714</f>
        <v>714</v>
      </c>
      <c r="E37" s="13">
        <f>664</f>
        <v>664</v>
      </c>
      <c r="F37" s="13">
        <f>517.5</f>
        <v>517.5</v>
      </c>
      <c r="G37" s="13">
        <f>1439</f>
        <v>1439</v>
      </c>
      <c r="H37" s="13">
        <f>2037.5</f>
        <v>2037.5</v>
      </c>
      <c r="I37" s="13">
        <f>1875.5</f>
        <v>1875.5</v>
      </c>
      <c r="J37" s="13">
        <f>621</f>
        <v>621</v>
      </c>
      <c r="K37" s="13">
        <f>517.5</f>
        <v>517.5</v>
      </c>
      <c r="L37" s="13">
        <f t="shared" ref="L37:M37" si="11">414</f>
        <v>414</v>
      </c>
      <c r="M37" s="13">
        <f t="shared" si="11"/>
        <v>414</v>
      </c>
      <c r="N37" s="13">
        <f t="shared" si="6"/>
        <v>10145.5</v>
      </c>
    </row>
    <row r="38" spans="1:14" ht="15.75" customHeight="1" x14ac:dyDescent="0.3">
      <c r="A38" s="11" t="s">
        <v>271</v>
      </c>
      <c r="B38" s="12"/>
      <c r="C38" s="12"/>
      <c r="D38" s="13">
        <f>400</f>
        <v>400</v>
      </c>
      <c r="E38" s="12"/>
      <c r="F38" s="13">
        <f>1020</f>
        <v>1020</v>
      </c>
      <c r="G38" s="13">
        <f>660</f>
        <v>660</v>
      </c>
      <c r="H38" s="13">
        <f>4000</f>
        <v>4000</v>
      </c>
      <c r="I38" s="13">
        <f>1515</f>
        <v>1515</v>
      </c>
      <c r="J38" s="13">
        <f t="shared" ref="J38:K38" si="12">330</f>
        <v>330</v>
      </c>
      <c r="K38" s="13">
        <f t="shared" si="12"/>
        <v>330</v>
      </c>
      <c r="L38" s="13">
        <f>525</f>
        <v>525</v>
      </c>
      <c r="M38" s="12"/>
      <c r="N38" s="13">
        <f t="shared" si="6"/>
        <v>8780</v>
      </c>
    </row>
    <row r="39" spans="1:14" ht="15.75" customHeight="1" x14ac:dyDescent="0.3">
      <c r="A39" s="11" t="s">
        <v>272</v>
      </c>
      <c r="B39" s="13">
        <f>480</f>
        <v>480</v>
      </c>
      <c r="C39" s="13">
        <f>740</f>
        <v>740</v>
      </c>
      <c r="D39" s="13">
        <f>360</f>
        <v>360</v>
      </c>
      <c r="E39" s="12"/>
      <c r="F39" s="12"/>
      <c r="G39" s="12"/>
      <c r="H39" s="12"/>
      <c r="I39" s="12"/>
      <c r="J39" s="12"/>
      <c r="K39" s="12"/>
      <c r="L39" s="12"/>
      <c r="M39" s="13">
        <f>400</f>
        <v>400</v>
      </c>
      <c r="N39" s="13">
        <f t="shared" si="6"/>
        <v>1980</v>
      </c>
    </row>
    <row r="40" spans="1:14" ht="15.75" customHeight="1" x14ac:dyDescent="0.3">
      <c r="A40" s="11" t="s">
        <v>273</v>
      </c>
      <c r="B40" s="12"/>
      <c r="C40" s="12"/>
      <c r="D40" s="12"/>
      <c r="E40" s="12"/>
      <c r="F40" s="12"/>
      <c r="G40" s="13">
        <f>301.13</f>
        <v>301.13</v>
      </c>
      <c r="H40" s="12"/>
      <c r="I40" s="12"/>
      <c r="J40" s="12"/>
      <c r="K40" s="12"/>
      <c r="L40" s="12"/>
      <c r="M40" s="12"/>
      <c r="N40" s="13">
        <f t="shared" si="6"/>
        <v>301.13</v>
      </c>
    </row>
    <row r="41" spans="1:14" ht="15.75" customHeight="1" x14ac:dyDescent="0.3">
      <c r="A41" s="11" t="s">
        <v>274</v>
      </c>
      <c r="B41" s="14">
        <f t="shared" ref="B41:M41" si="13">((((B36)+(B37))+(B38))+(B39))+(B40)</f>
        <v>997.5</v>
      </c>
      <c r="C41" s="14">
        <f t="shared" si="13"/>
        <v>1154</v>
      </c>
      <c r="D41" s="14">
        <f t="shared" si="13"/>
        <v>1474</v>
      </c>
      <c r="E41" s="14">
        <f t="shared" si="13"/>
        <v>664</v>
      </c>
      <c r="F41" s="14">
        <f t="shared" si="13"/>
        <v>1537.5</v>
      </c>
      <c r="G41" s="14">
        <f t="shared" si="13"/>
        <v>2400.13</v>
      </c>
      <c r="H41" s="14">
        <f t="shared" si="13"/>
        <v>6037.5</v>
      </c>
      <c r="I41" s="14">
        <f t="shared" si="13"/>
        <v>3390.5</v>
      </c>
      <c r="J41" s="14">
        <f t="shared" si="13"/>
        <v>951</v>
      </c>
      <c r="K41" s="14">
        <f t="shared" si="13"/>
        <v>847.5</v>
      </c>
      <c r="L41" s="14">
        <f t="shared" si="13"/>
        <v>939</v>
      </c>
      <c r="M41" s="14">
        <f t="shared" si="13"/>
        <v>814</v>
      </c>
      <c r="N41" s="14">
        <f t="shared" si="6"/>
        <v>21206.63</v>
      </c>
    </row>
    <row r="42" spans="1:14" ht="15.75" customHeight="1" x14ac:dyDescent="0.3">
      <c r="A42" s="11" t="s">
        <v>308</v>
      </c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3">
        <f>140</f>
        <v>140</v>
      </c>
      <c r="N42" s="13">
        <f t="shared" si="6"/>
        <v>140</v>
      </c>
    </row>
    <row r="43" spans="1:14" ht="15.75" customHeight="1" x14ac:dyDescent="0.3">
      <c r="A43" s="11" t="s">
        <v>309</v>
      </c>
      <c r="B43" s="12"/>
      <c r="C43" s="12"/>
      <c r="D43" s="12"/>
      <c r="E43" s="12"/>
      <c r="F43" s="12"/>
      <c r="G43" s="12"/>
      <c r="H43" s="12"/>
      <c r="I43" s="13">
        <f>30</f>
        <v>30</v>
      </c>
      <c r="J43" s="12"/>
      <c r="K43" s="12"/>
      <c r="L43" s="12"/>
      <c r="M43" s="12"/>
      <c r="N43" s="13">
        <f t="shared" si="6"/>
        <v>30</v>
      </c>
    </row>
    <row r="44" spans="1:14" ht="15.75" customHeight="1" x14ac:dyDescent="0.3">
      <c r="A44" s="11" t="s">
        <v>310</v>
      </c>
      <c r="B44" s="12"/>
      <c r="C44" s="12"/>
      <c r="D44" s="12"/>
      <c r="E44" s="12"/>
      <c r="F44" s="13">
        <f>267.5</f>
        <v>267.5</v>
      </c>
      <c r="G44" s="12"/>
      <c r="H44" s="12"/>
      <c r="I44" s="12"/>
      <c r="J44" s="12"/>
      <c r="K44" s="12"/>
      <c r="L44" s="12"/>
      <c r="M44" s="12"/>
      <c r="N44" s="13">
        <f t="shared" si="6"/>
        <v>267.5</v>
      </c>
    </row>
    <row r="45" spans="1:14" ht="15.75" customHeight="1" x14ac:dyDescent="0.3">
      <c r="A45" s="11" t="s">
        <v>275</v>
      </c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3">
        <f t="shared" si="6"/>
        <v>0</v>
      </c>
    </row>
    <row r="46" spans="1:14" ht="15.75" customHeight="1" x14ac:dyDescent="0.3">
      <c r="A46" s="11" t="s">
        <v>276</v>
      </c>
      <c r="B46" s="12"/>
      <c r="C46" s="12"/>
      <c r="D46" s="12"/>
      <c r="E46" s="12"/>
      <c r="F46" s="12"/>
      <c r="G46" s="12"/>
      <c r="H46" s="12"/>
      <c r="I46" s="13">
        <f>10183.42</f>
        <v>10183.42</v>
      </c>
      <c r="J46" s="13">
        <f>-13313.78</f>
        <v>-13313.78</v>
      </c>
      <c r="K46" s="12"/>
      <c r="L46" s="12"/>
      <c r="M46" s="13">
        <f>11423.37</f>
        <v>11423.37</v>
      </c>
      <c r="N46" s="13">
        <f t="shared" si="6"/>
        <v>8293.01</v>
      </c>
    </row>
    <row r="47" spans="1:14" ht="15.75" customHeight="1" x14ac:dyDescent="0.3">
      <c r="A47" s="11" t="s">
        <v>277</v>
      </c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3">
        <f>14099</f>
        <v>14099</v>
      </c>
      <c r="M47" s="12"/>
      <c r="N47" s="13">
        <f t="shared" si="6"/>
        <v>14099</v>
      </c>
    </row>
    <row r="48" spans="1:14" ht="15.75" customHeight="1" x14ac:dyDescent="0.3">
      <c r="A48" s="11" t="s">
        <v>278</v>
      </c>
      <c r="B48" s="14">
        <f t="shared" ref="B48:M48" si="14">((B45)+(B46))+(B47)</f>
        <v>0</v>
      </c>
      <c r="C48" s="14">
        <f t="shared" si="14"/>
        <v>0</v>
      </c>
      <c r="D48" s="14">
        <f t="shared" si="14"/>
        <v>0</v>
      </c>
      <c r="E48" s="14">
        <f t="shared" si="14"/>
        <v>0</v>
      </c>
      <c r="F48" s="14">
        <f t="shared" si="14"/>
        <v>0</v>
      </c>
      <c r="G48" s="14">
        <f t="shared" si="14"/>
        <v>0</v>
      </c>
      <c r="H48" s="14">
        <f t="shared" si="14"/>
        <v>0</v>
      </c>
      <c r="I48" s="14">
        <f t="shared" si="14"/>
        <v>10183.42</v>
      </c>
      <c r="J48" s="14">
        <f t="shared" si="14"/>
        <v>-13313.78</v>
      </c>
      <c r="K48" s="14">
        <f t="shared" si="14"/>
        <v>0</v>
      </c>
      <c r="L48" s="14">
        <f t="shared" si="14"/>
        <v>14099</v>
      </c>
      <c r="M48" s="14">
        <f t="shared" si="14"/>
        <v>11423.37</v>
      </c>
      <c r="N48" s="14">
        <f t="shared" si="6"/>
        <v>22392.010000000002</v>
      </c>
    </row>
    <row r="49" spans="1:14" ht="15.75" customHeight="1" x14ac:dyDescent="0.3">
      <c r="A49" s="11" t="s">
        <v>279</v>
      </c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3">
        <f t="shared" si="6"/>
        <v>0</v>
      </c>
    </row>
    <row r="50" spans="1:14" ht="15.75" customHeight="1" x14ac:dyDescent="0.3">
      <c r="A50" s="11" t="s">
        <v>280</v>
      </c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>
        <f t="shared" si="6"/>
        <v>0</v>
      </c>
    </row>
    <row r="51" spans="1:14" ht="15.75" customHeight="1" x14ac:dyDescent="0.3">
      <c r="A51" s="11" t="s">
        <v>281</v>
      </c>
      <c r="B51" s="14">
        <f t="shared" ref="B51:M51" si="15">(B49)+(B50)</f>
        <v>0</v>
      </c>
      <c r="C51" s="14">
        <f t="shared" si="15"/>
        <v>0</v>
      </c>
      <c r="D51" s="14">
        <f t="shared" si="15"/>
        <v>0</v>
      </c>
      <c r="E51" s="14">
        <f t="shared" si="15"/>
        <v>0</v>
      </c>
      <c r="F51" s="14">
        <f t="shared" si="15"/>
        <v>0</v>
      </c>
      <c r="G51" s="14">
        <f t="shared" si="15"/>
        <v>0</v>
      </c>
      <c r="H51" s="14">
        <f t="shared" si="15"/>
        <v>0</v>
      </c>
      <c r="I51" s="14">
        <f t="shared" si="15"/>
        <v>0</v>
      </c>
      <c r="J51" s="14">
        <f t="shared" si="15"/>
        <v>0</v>
      </c>
      <c r="K51" s="14">
        <f t="shared" si="15"/>
        <v>0</v>
      </c>
      <c r="L51" s="14">
        <f t="shared" si="15"/>
        <v>0</v>
      </c>
      <c r="M51" s="14">
        <f t="shared" si="15"/>
        <v>0</v>
      </c>
      <c r="N51" s="14">
        <f t="shared" si="6"/>
        <v>0</v>
      </c>
    </row>
    <row r="52" spans="1:14" ht="15.75" customHeight="1" x14ac:dyDescent="0.3">
      <c r="A52" s="11" t="s">
        <v>290</v>
      </c>
      <c r="B52" s="12"/>
      <c r="C52" s="12"/>
      <c r="D52" s="13">
        <f>0</f>
        <v>0</v>
      </c>
      <c r="E52" s="12"/>
      <c r="F52" s="12"/>
      <c r="G52" s="12"/>
      <c r="H52" s="13">
        <f t="shared" ref="H52:M52" si="16">0</f>
        <v>0</v>
      </c>
      <c r="I52" s="13">
        <f t="shared" si="16"/>
        <v>0</v>
      </c>
      <c r="J52" s="13">
        <f t="shared" si="16"/>
        <v>0</v>
      </c>
      <c r="K52" s="13">
        <f t="shared" si="16"/>
        <v>0</v>
      </c>
      <c r="L52" s="13">
        <f t="shared" si="16"/>
        <v>0</v>
      </c>
      <c r="M52" s="13">
        <f t="shared" si="16"/>
        <v>0</v>
      </c>
      <c r="N52" s="13">
        <f t="shared" si="6"/>
        <v>0</v>
      </c>
    </row>
    <row r="53" spans="1:14" ht="15.75" customHeight="1" x14ac:dyDescent="0.3">
      <c r="A53" s="11" t="s">
        <v>282</v>
      </c>
      <c r="B53" s="14">
        <f t="shared" ref="B53:M53" si="17">((((((((((((((B19)+(B20))+(B21))+(B25))+(B26))+(B27))+(B28))+(B35))+(B41))+(B42))+(B43))+(B44))+(B48))+(B51))+(B52)</f>
        <v>9814.25</v>
      </c>
      <c r="C53" s="14">
        <f t="shared" si="17"/>
        <v>11684.61</v>
      </c>
      <c r="D53" s="14">
        <f t="shared" si="17"/>
        <v>9192.4700000000012</v>
      </c>
      <c r="E53" s="14">
        <f t="shared" si="17"/>
        <v>15679.11</v>
      </c>
      <c r="F53" s="14">
        <f t="shared" si="17"/>
        <v>11302.220000000001</v>
      </c>
      <c r="G53" s="14">
        <f t="shared" si="17"/>
        <v>8583.48</v>
      </c>
      <c r="H53" s="14">
        <f t="shared" si="17"/>
        <v>13362.769999999999</v>
      </c>
      <c r="I53" s="14">
        <f t="shared" si="17"/>
        <v>20453.370000000003</v>
      </c>
      <c r="J53" s="14">
        <f t="shared" si="17"/>
        <v>-4839.2900000000027</v>
      </c>
      <c r="K53" s="14">
        <f t="shared" si="17"/>
        <v>10126.6</v>
      </c>
      <c r="L53" s="14">
        <f t="shared" si="17"/>
        <v>20991.09</v>
      </c>
      <c r="M53" s="14">
        <f t="shared" si="17"/>
        <v>21739.760000000002</v>
      </c>
      <c r="N53" s="14">
        <f t="shared" si="6"/>
        <v>148090.44</v>
      </c>
    </row>
    <row r="54" spans="1:14" ht="15.75" customHeight="1" x14ac:dyDescent="0.3">
      <c r="A54" s="11" t="s">
        <v>0</v>
      </c>
      <c r="B54" s="14">
        <f t="shared" ref="B54:M54" si="18">(B15)-(B53)</f>
        <v>14625.59</v>
      </c>
      <c r="C54" s="14">
        <f t="shared" si="18"/>
        <v>11066.93</v>
      </c>
      <c r="D54" s="14">
        <f t="shared" si="18"/>
        <v>17791.25</v>
      </c>
      <c r="E54" s="14">
        <f t="shared" si="18"/>
        <v>9868.3999999999978</v>
      </c>
      <c r="F54" s="14">
        <f t="shared" si="18"/>
        <v>15811.719999999998</v>
      </c>
      <c r="G54" s="14">
        <f t="shared" si="18"/>
        <v>21069.439999999999</v>
      </c>
      <c r="H54" s="14">
        <f t="shared" si="18"/>
        <v>19286.230000000003</v>
      </c>
      <c r="I54" s="14">
        <f t="shared" si="18"/>
        <v>4782.239999999998</v>
      </c>
      <c r="J54" s="14">
        <f t="shared" si="18"/>
        <v>37138.43</v>
      </c>
      <c r="K54" s="14">
        <f t="shared" si="18"/>
        <v>17682.159999999996</v>
      </c>
      <c r="L54" s="14">
        <f t="shared" si="18"/>
        <v>6043.91</v>
      </c>
      <c r="M54" s="14">
        <f t="shared" si="18"/>
        <v>8866.239999999998</v>
      </c>
      <c r="N54" s="14">
        <f t="shared" si="6"/>
        <v>184032.53999999998</v>
      </c>
    </row>
    <row r="55" spans="1:14" ht="15.75" customHeight="1" x14ac:dyDescent="0.3">
      <c r="A55" s="11" t="s">
        <v>311</v>
      </c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</row>
    <row r="56" spans="1:14" ht="15.75" customHeight="1" x14ac:dyDescent="0.3">
      <c r="A56" s="11" t="s">
        <v>312</v>
      </c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3">
        <f t="shared" ref="N56:N61" si="19">(((((((((((B56)+(C56))+(D56))+(E56))+(F56))+(G56))+(H56))+(I56))+(J56))+(K56))+(L56))+(M56)</f>
        <v>0</v>
      </c>
    </row>
    <row r="57" spans="1:14" ht="15.75" customHeight="1" x14ac:dyDescent="0.3">
      <c r="A57" s="11" t="s">
        <v>313</v>
      </c>
      <c r="B57" s="12"/>
      <c r="C57" s="12"/>
      <c r="D57" s="12"/>
      <c r="E57" s="12"/>
      <c r="F57" s="12"/>
      <c r="G57" s="13">
        <f>510</f>
        <v>510</v>
      </c>
      <c r="H57" s="13">
        <f>795</f>
        <v>795</v>
      </c>
      <c r="I57" s="13">
        <f>237</f>
        <v>237</v>
      </c>
      <c r="J57" s="12"/>
      <c r="K57" s="12"/>
      <c r="L57" s="12"/>
      <c r="M57" s="12"/>
      <c r="N57" s="13">
        <f t="shared" si="19"/>
        <v>1542</v>
      </c>
    </row>
    <row r="58" spans="1:14" ht="15.75" customHeight="1" x14ac:dyDescent="0.3">
      <c r="A58" s="11" t="s">
        <v>314</v>
      </c>
      <c r="B58" s="14">
        <f t="shared" ref="B58:M58" si="20">(B56)+(B57)</f>
        <v>0</v>
      </c>
      <c r="C58" s="14">
        <f t="shared" si="20"/>
        <v>0</v>
      </c>
      <c r="D58" s="14">
        <f t="shared" si="20"/>
        <v>0</v>
      </c>
      <c r="E58" s="14">
        <f t="shared" si="20"/>
        <v>0</v>
      </c>
      <c r="F58" s="14">
        <f t="shared" si="20"/>
        <v>0</v>
      </c>
      <c r="G58" s="14">
        <f t="shared" si="20"/>
        <v>510</v>
      </c>
      <c r="H58" s="14">
        <f t="shared" si="20"/>
        <v>795</v>
      </c>
      <c r="I58" s="14">
        <f t="shared" si="20"/>
        <v>237</v>
      </c>
      <c r="J58" s="14">
        <f t="shared" si="20"/>
        <v>0</v>
      </c>
      <c r="K58" s="14">
        <f t="shared" si="20"/>
        <v>0</v>
      </c>
      <c r="L58" s="14">
        <f t="shared" si="20"/>
        <v>0</v>
      </c>
      <c r="M58" s="14">
        <f t="shared" si="20"/>
        <v>0</v>
      </c>
      <c r="N58" s="14">
        <f t="shared" si="19"/>
        <v>1542</v>
      </c>
    </row>
    <row r="59" spans="1:14" ht="15.75" customHeight="1" x14ac:dyDescent="0.3">
      <c r="A59" s="11" t="s">
        <v>315</v>
      </c>
      <c r="B59" s="14">
        <f t="shared" ref="B59:M59" si="21">B58</f>
        <v>0</v>
      </c>
      <c r="C59" s="14">
        <f t="shared" si="21"/>
        <v>0</v>
      </c>
      <c r="D59" s="14">
        <f t="shared" si="21"/>
        <v>0</v>
      </c>
      <c r="E59" s="14">
        <f t="shared" si="21"/>
        <v>0</v>
      </c>
      <c r="F59" s="14">
        <f t="shared" si="21"/>
        <v>0</v>
      </c>
      <c r="G59" s="14">
        <f t="shared" si="21"/>
        <v>510</v>
      </c>
      <c r="H59" s="14">
        <f t="shared" si="21"/>
        <v>795</v>
      </c>
      <c r="I59" s="14">
        <f t="shared" si="21"/>
        <v>237</v>
      </c>
      <c r="J59" s="14">
        <f t="shared" si="21"/>
        <v>0</v>
      </c>
      <c r="K59" s="14">
        <f t="shared" si="21"/>
        <v>0</v>
      </c>
      <c r="L59" s="14">
        <f t="shared" si="21"/>
        <v>0</v>
      </c>
      <c r="M59" s="14">
        <f t="shared" si="21"/>
        <v>0</v>
      </c>
      <c r="N59" s="14">
        <f t="shared" si="19"/>
        <v>1542</v>
      </c>
    </row>
    <row r="60" spans="1:14" ht="15.75" customHeight="1" x14ac:dyDescent="0.3">
      <c r="A60" s="11" t="s">
        <v>316</v>
      </c>
      <c r="B60" s="14">
        <f t="shared" ref="B60:M60" si="22">(0)-(B59)</f>
        <v>0</v>
      </c>
      <c r="C60" s="14">
        <f t="shared" si="22"/>
        <v>0</v>
      </c>
      <c r="D60" s="14">
        <f t="shared" si="22"/>
        <v>0</v>
      </c>
      <c r="E60" s="14">
        <f t="shared" si="22"/>
        <v>0</v>
      </c>
      <c r="F60" s="14">
        <f t="shared" si="22"/>
        <v>0</v>
      </c>
      <c r="G60" s="14">
        <f t="shared" si="22"/>
        <v>-510</v>
      </c>
      <c r="H60" s="14">
        <f t="shared" si="22"/>
        <v>-795</v>
      </c>
      <c r="I60" s="14">
        <f t="shared" si="22"/>
        <v>-237</v>
      </c>
      <c r="J60" s="14">
        <f t="shared" si="22"/>
        <v>0</v>
      </c>
      <c r="K60" s="14">
        <f t="shared" si="22"/>
        <v>0</v>
      </c>
      <c r="L60" s="14">
        <f t="shared" si="22"/>
        <v>0</v>
      </c>
      <c r="M60" s="14">
        <f t="shared" si="22"/>
        <v>0</v>
      </c>
      <c r="N60" s="14">
        <f t="shared" si="19"/>
        <v>-1542</v>
      </c>
    </row>
    <row r="61" spans="1:14" ht="15.75" customHeight="1" x14ac:dyDescent="0.3">
      <c r="A61" s="11" t="s">
        <v>283</v>
      </c>
      <c r="B61" s="14">
        <f t="shared" ref="B61:M61" si="23">(B54)+(B60)</f>
        <v>14625.59</v>
      </c>
      <c r="C61" s="14">
        <f t="shared" si="23"/>
        <v>11066.93</v>
      </c>
      <c r="D61" s="14">
        <f t="shared" si="23"/>
        <v>17791.25</v>
      </c>
      <c r="E61" s="14">
        <f t="shared" si="23"/>
        <v>9868.3999999999978</v>
      </c>
      <c r="F61" s="14">
        <f t="shared" si="23"/>
        <v>15811.719999999998</v>
      </c>
      <c r="G61" s="14">
        <f t="shared" si="23"/>
        <v>20559.439999999999</v>
      </c>
      <c r="H61" s="14">
        <f t="shared" si="23"/>
        <v>18491.230000000003</v>
      </c>
      <c r="I61" s="14">
        <f t="shared" si="23"/>
        <v>4545.239999999998</v>
      </c>
      <c r="J61" s="14">
        <f t="shared" si="23"/>
        <v>37138.43</v>
      </c>
      <c r="K61" s="14">
        <f t="shared" si="23"/>
        <v>17682.159999999996</v>
      </c>
      <c r="L61" s="14">
        <f t="shared" si="23"/>
        <v>6043.91</v>
      </c>
      <c r="M61" s="14">
        <f t="shared" si="23"/>
        <v>8866.239999999998</v>
      </c>
      <c r="N61" s="14">
        <f t="shared" si="19"/>
        <v>182490.53999999998</v>
      </c>
    </row>
    <row r="62" spans="1:14" ht="15.75" customHeight="1" x14ac:dyDescent="0.3">
      <c r="A62" s="11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</row>
    <row r="63" spans="1:14" ht="15.75" customHeight="1" x14ac:dyDescent="0.3"/>
    <row r="64" spans="1:14" ht="15.75" customHeight="1" x14ac:dyDescent="0.3"/>
    <row r="65" spans="1:14" ht="15.75" customHeight="1" x14ac:dyDescent="0.3">
      <c r="A65" s="23" t="s">
        <v>317</v>
      </c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</row>
    <row r="66" spans="1:14" ht="15.75" customHeight="1" x14ac:dyDescent="0.3"/>
    <row r="67" spans="1:14" ht="15.75" customHeight="1" x14ac:dyDescent="0.3"/>
    <row r="68" spans="1:14" ht="15.75" customHeight="1" x14ac:dyDescent="0.3"/>
    <row r="69" spans="1:14" ht="15.75" customHeight="1" x14ac:dyDescent="0.3"/>
    <row r="70" spans="1:14" ht="15.75" customHeight="1" x14ac:dyDescent="0.3"/>
    <row r="71" spans="1:14" ht="15.75" customHeight="1" x14ac:dyDescent="0.3"/>
    <row r="72" spans="1:14" ht="15.75" customHeight="1" x14ac:dyDescent="0.3"/>
    <row r="73" spans="1:14" ht="15.75" customHeight="1" x14ac:dyDescent="0.3"/>
    <row r="74" spans="1:14" ht="15.75" customHeight="1" x14ac:dyDescent="0.3"/>
    <row r="75" spans="1:14" ht="15.75" customHeight="1" x14ac:dyDescent="0.3"/>
    <row r="76" spans="1:14" ht="15.75" customHeight="1" x14ac:dyDescent="0.3"/>
    <row r="77" spans="1:14" ht="15.75" customHeight="1" x14ac:dyDescent="0.3"/>
    <row r="78" spans="1:14" ht="15.75" customHeight="1" x14ac:dyDescent="0.3"/>
    <row r="79" spans="1:14" ht="15.75" customHeight="1" x14ac:dyDescent="0.3"/>
    <row r="80" spans="1:14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mergeCells count="4">
    <mergeCell ref="A1:N1"/>
    <mergeCell ref="A2:N2"/>
    <mergeCell ref="A3:N3"/>
    <mergeCell ref="A65:N65"/>
  </mergeCells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1000"/>
  <sheetViews>
    <sheetView workbookViewId="0"/>
  </sheetViews>
  <sheetFormatPr defaultColWidth="14.44140625" defaultRowHeight="15" customHeight="1" x14ac:dyDescent="0.3"/>
  <cols>
    <col min="1" max="1" width="38.6640625" customWidth="1"/>
    <col min="2" max="5" width="9.44140625" customWidth="1"/>
    <col min="6" max="6" width="11.109375" customWidth="1"/>
    <col min="7" max="9" width="9.44140625" customWidth="1"/>
    <col min="10" max="10" width="11.109375" customWidth="1"/>
    <col min="11" max="13" width="9.44140625" customWidth="1"/>
    <col min="14" max="14" width="10.33203125" customWidth="1"/>
    <col min="15" max="26" width="8.6640625" customWidth="1"/>
  </cols>
  <sheetData>
    <row r="1" spans="1:14" ht="17.399999999999999" x14ac:dyDescent="0.3">
      <c r="A1" s="21" t="s">
        <v>318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</row>
    <row r="2" spans="1:14" ht="17.399999999999999" x14ac:dyDescent="0.3">
      <c r="A2" s="21" t="s">
        <v>221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</row>
    <row r="3" spans="1:14" ht="14.4" x14ac:dyDescent="0.3">
      <c r="A3" s="22" t="s">
        <v>222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</row>
    <row r="5" spans="1:14" ht="14.4" x14ac:dyDescent="0.3">
      <c r="A5" s="9"/>
      <c r="B5" s="10" t="s">
        <v>223</v>
      </c>
      <c r="C5" s="10" t="s">
        <v>224</v>
      </c>
      <c r="D5" s="10" t="s">
        <v>225</v>
      </c>
      <c r="E5" s="10" t="s">
        <v>226</v>
      </c>
      <c r="F5" s="10" t="s">
        <v>227</v>
      </c>
      <c r="G5" s="10" t="s">
        <v>228</v>
      </c>
      <c r="H5" s="10" t="s">
        <v>229</v>
      </c>
      <c r="I5" s="10" t="s">
        <v>230</v>
      </c>
      <c r="J5" s="10" t="s">
        <v>231</v>
      </c>
      <c r="K5" s="10" t="s">
        <v>232</v>
      </c>
      <c r="L5" s="10" t="s">
        <v>233</v>
      </c>
      <c r="M5" s="10" t="s">
        <v>234</v>
      </c>
      <c r="N5" s="10" t="s">
        <v>17</v>
      </c>
    </row>
    <row r="6" spans="1:14" ht="14.4" x14ac:dyDescent="0.3">
      <c r="A6" s="11" t="s">
        <v>236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</row>
    <row r="7" spans="1:14" ht="14.4" x14ac:dyDescent="0.3">
      <c r="A7" s="11" t="s">
        <v>237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3">
        <f t="shared" ref="N7:N12" si="0">(((((((((((B7)+(C7))+(D7))+(E7))+(F7))+(G7))+(H7))+(I7))+(J7))+(K7))+(L7))+(M7)</f>
        <v>0</v>
      </c>
    </row>
    <row r="8" spans="1:14" ht="14.4" x14ac:dyDescent="0.3">
      <c r="A8" s="11" t="s">
        <v>238</v>
      </c>
      <c r="B8" s="13">
        <f>24698.98</f>
        <v>24698.98</v>
      </c>
      <c r="C8" s="13">
        <f>27975.77</f>
        <v>27975.77</v>
      </c>
      <c r="D8" s="13">
        <f>21329.95</f>
        <v>21329.95</v>
      </c>
      <c r="E8" s="13">
        <f>29376.68</f>
        <v>29376.68</v>
      </c>
      <c r="F8" s="13">
        <f>24430.47</f>
        <v>24430.47</v>
      </c>
      <c r="G8" s="13">
        <f>24807.11</f>
        <v>24807.11</v>
      </c>
      <c r="H8" s="13">
        <f>30718.83</f>
        <v>30718.83</v>
      </c>
      <c r="I8" s="13">
        <f>26714.09</f>
        <v>26714.09</v>
      </c>
      <c r="J8" s="13">
        <f>30811.19</f>
        <v>30811.19</v>
      </c>
      <c r="K8" s="13">
        <f>28841.08</f>
        <v>28841.08</v>
      </c>
      <c r="L8" s="13">
        <f>26948.62</f>
        <v>26948.62</v>
      </c>
      <c r="M8" s="13">
        <f>29430.52</f>
        <v>29430.52</v>
      </c>
      <c r="N8" s="13">
        <f t="shared" si="0"/>
        <v>326083.29000000004</v>
      </c>
    </row>
    <row r="9" spans="1:14" ht="14.4" x14ac:dyDescent="0.3">
      <c r="A9" s="11" t="s">
        <v>239</v>
      </c>
      <c r="B9" s="12"/>
      <c r="C9" s="12"/>
      <c r="D9" s="12"/>
      <c r="E9" s="12"/>
      <c r="F9" s="13">
        <f>-127</f>
        <v>-127</v>
      </c>
      <c r="G9" s="12"/>
      <c r="H9" s="12"/>
      <c r="I9" s="12"/>
      <c r="J9" s="12"/>
      <c r="K9" s="13">
        <f>-987</f>
        <v>-987</v>
      </c>
      <c r="L9" s="12"/>
      <c r="M9" s="12"/>
      <c r="N9" s="13">
        <f t="shared" si="0"/>
        <v>-1114</v>
      </c>
    </row>
    <row r="10" spans="1:14" ht="14.4" x14ac:dyDescent="0.3">
      <c r="A10" s="11" t="s">
        <v>240</v>
      </c>
      <c r="B10" s="14">
        <f t="shared" ref="B10:M10" si="1">((B7)+(B8))+(B9)</f>
        <v>24698.98</v>
      </c>
      <c r="C10" s="14">
        <f t="shared" si="1"/>
        <v>27975.77</v>
      </c>
      <c r="D10" s="14">
        <f t="shared" si="1"/>
        <v>21329.95</v>
      </c>
      <c r="E10" s="14">
        <f t="shared" si="1"/>
        <v>29376.68</v>
      </c>
      <c r="F10" s="14">
        <f t="shared" si="1"/>
        <v>24303.47</v>
      </c>
      <c r="G10" s="14">
        <f t="shared" si="1"/>
        <v>24807.11</v>
      </c>
      <c r="H10" s="14">
        <f t="shared" si="1"/>
        <v>30718.83</v>
      </c>
      <c r="I10" s="14">
        <f t="shared" si="1"/>
        <v>26714.09</v>
      </c>
      <c r="J10" s="14">
        <f t="shared" si="1"/>
        <v>30811.19</v>
      </c>
      <c r="K10" s="14">
        <f t="shared" si="1"/>
        <v>27854.080000000002</v>
      </c>
      <c r="L10" s="14">
        <f t="shared" si="1"/>
        <v>26948.62</v>
      </c>
      <c r="M10" s="14">
        <f t="shared" si="1"/>
        <v>29430.52</v>
      </c>
      <c r="N10" s="14">
        <f t="shared" si="0"/>
        <v>324969.29000000004</v>
      </c>
    </row>
    <row r="11" spans="1:14" ht="14.4" x14ac:dyDescent="0.3">
      <c r="A11" s="11" t="s">
        <v>245</v>
      </c>
      <c r="B11" s="14">
        <f t="shared" ref="B11:M11" si="2">B10</f>
        <v>24698.98</v>
      </c>
      <c r="C11" s="14">
        <f t="shared" si="2"/>
        <v>27975.77</v>
      </c>
      <c r="D11" s="14">
        <f t="shared" si="2"/>
        <v>21329.95</v>
      </c>
      <c r="E11" s="14">
        <f t="shared" si="2"/>
        <v>29376.68</v>
      </c>
      <c r="F11" s="14">
        <f t="shared" si="2"/>
        <v>24303.47</v>
      </c>
      <c r="G11" s="14">
        <f t="shared" si="2"/>
        <v>24807.11</v>
      </c>
      <c r="H11" s="14">
        <f t="shared" si="2"/>
        <v>30718.83</v>
      </c>
      <c r="I11" s="14">
        <f t="shared" si="2"/>
        <v>26714.09</v>
      </c>
      <c r="J11" s="14">
        <f t="shared" si="2"/>
        <v>30811.19</v>
      </c>
      <c r="K11" s="14">
        <f t="shared" si="2"/>
        <v>27854.080000000002</v>
      </c>
      <c r="L11" s="14">
        <f t="shared" si="2"/>
        <v>26948.62</v>
      </c>
      <c r="M11" s="14">
        <f t="shared" si="2"/>
        <v>29430.52</v>
      </c>
      <c r="N11" s="14">
        <f t="shared" si="0"/>
        <v>324969.29000000004</v>
      </c>
    </row>
    <row r="12" spans="1:14" ht="14.4" x14ac:dyDescent="0.3">
      <c r="A12" s="11" t="s">
        <v>246</v>
      </c>
      <c r="B12" s="14">
        <f t="shared" ref="B12:M12" si="3">(B11)-(0)</f>
        <v>24698.98</v>
      </c>
      <c r="C12" s="14">
        <f t="shared" si="3"/>
        <v>27975.77</v>
      </c>
      <c r="D12" s="14">
        <f t="shared" si="3"/>
        <v>21329.95</v>
      </c>
      <c r="E12" s="14">
        <f t="shared" si="3"/>
        <v>29376.68</v>
      </c>
      <c r="F12" s="14">
        <f t="shared" si="3"/>
        <v>24303.47</v>
      </c>
      <c r="G12" s="14">
        <f t="shared" si="3"/>
        <v>24807.11</v>
      </c>
      <c r="H12" s="14">
        <f t="shared" si="3"/>
        <v>30718.83</v>
      </c>
      <c r="I12" s="14">
        <f t="shared" si="3"/>
        <v>26714.09</v>
      </c>
      <c r="J12" s="14">
        <f t="shared" si="3"/>
        <v>30811.19</v>
      </c>
      <c r="K12" s="14">
        <f t="shared" si="3"/>
        <v>27854.080000000002</v>
      </c>
      <c r="L12" s="14">
        <f t="shared" si="3"/>
        <v>26948.62</v>
      </c>
      <c r="M12" s="14">
        <f t="shared" si="3"/>
        <v>29430.52</v>
      </c>
      <c r="N12" s="14">
        <f t="shared" si="0"/>
        <v>324969.29000000004</v>
      </c>
    </row>
    <row r="13" spans="1:14" ht="14.4" x14ac:dyDescent="0.3">
      <c r="A13" s="11" t="s">
        <v>247</v>
      </c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</row>
    <row r="14" spans="1:14" ht="14.4" x14ac:dyDescent="0.3">
      <c r="A14" s="11" t="s">
        <v>319</v>
      </c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3">
        <f>32.94</f>
        <v>32.94</v>
      </c>
      <c r="M14" s="12"/>
      <c r="N14" s="13">
        <f t="shared" ref="N14:N43" si="4">(((((((((((B14)+(C14))+(D14))+(E14))+(F14))+(G14))+(H14))+(I14))+(J14))+(K14))+(L14))+(M14)</f>
        <v>32.94</v>
      </c>
    </row>
    <row r="15" spans="1:14" ht="14.4" x14ac:dyDescent="0.3">
      <c r="A15" s="11" t="s">
        <v>320</v>
      </c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3">
        <f t="shared" si="4"/>
        <v>0</v>
      </c>
    </row>
    <row r="16" spans="1:14" ht="14.4" x14ac:dyDescent="0.3">
      <c r="A16" s="11" t="s">
        <v>321</v>
      </c>
      <c r="B16" s="12"/>
      <c r="C16" s="12"/>
      <c r="D16" s="12"/>
      <c r="E16" s="12"/>
      <c r="F16" s="12"/>
      <c r="G16" s="12"/>
      <c r="H16" s="12"/>
      <c r="I16" s="12"/>
      <c r="J16" s="12"/>
      <c r="K16" s="13">
        <f>219</f>
        <v>219</v>
      </c>
      <c r="L16" s="12"/>
      <c r="M16" s="13">
        <f>657</f>
        <v>657</v>
      </c>
      <c r="N16" s="13">
        <f t="shared" si="4"/>
        <v>876</v>
      </c>
    </row>
    <row r="17" spans="1:14" ht="14.4" x14ac:dyDescent="0.3">
      <c r="A17" s="11" t="s">
        <v>322</v>
      </c>
      <c r="B17" s="14">
        <f t="shared" ref="B17:M17" si="5">(B15)+(B16)</f>
        <v>0</v>
      </c>
      <c r="C17" s="14">
        <f t="shared" si="5"/>
        <v>0</v>
      </c>
      <c r="D17" s="14">
        <f t="shared" si="5"/>
        <v>0</v>
      </c>
      <c r="E17" s="14">
        <f t="shared" si="5"/>
        <v>0</v>
      </c>
      <c r="F17" s="14">
        <f t="shared" si="5"/>
        <v>0</v>
      </c>
      <c r="G17" s="14">
        <f t="shared" si="5"/>
        <v>0</v>
      </c>
      <c r="H17" s="14">
        <f t="shared" si="5"/>
        <v>0</v>
      </c>
      <c r="I17" s="14">
        <f t="shared" si="5"/>
        <v>0</v>
      </c>
      <c r="J17" s="14">
        <f t="shared" si="5"/>
        <v>0</v>
      </c>
      <c r="K17" s="14">
        <f t="shared" si="5"/>
        <v>219</v>
      </c>
      <c r="L17" s="14">
        <f t="shared" si="5"/>
        <v>0</v>
      </c>
      <c r="M17" s="14">
        <f t="shared" si="5"/>
        <v>657</v>
      </c>
      <c r="N17" s="14">
        <f t="shared" si="4"/>
        <v>876</v>
      </c>
    </row>
    <row r="18" spans="1:14" ht="14.4" x14ac:dyDescent="0.3">
      <c r="A18" s="11" t="s">
        <v>323</v>
      </c>
      <c r="B18" s="13">
        <f>174.24</f>
        <v>174.24</v>
      </c>
      <c r="C18" s="12"/>
      <c r="D18" s="13">
        <f>233.13</f>
        <v>233.13</v>
      </c>
      <c r="E18" s="12"/>
      <c r="F18" s="13">
        <f>219</f>
        <v>219</v>
      </c>
      <c r="G18" s="12"/>
      <c r="H18" s="13">
        <f t="shared" ref="H18:J18" si="6">219</f>
        <v>219</v>
      </c>
      <c r="I18" s="13">
        <f t="shared" si="6"/>
        <v>219</v>
      </c>
      <c r="J18" s="13">
        <f t="shared" si="6"/>
        <v>219</v>
      </c>
      <c r="K18" s="12"/>
      <c r="L18" s="12"/>
      <c r="M18" s="12"/>
      <c r="N18" s="13">
        <f t="shared" si="4"/>
        <v>1283.3699999999999</v>
      </c>
    </row>
    <row r="19" spans="1:14" ht="14.4" x14ac:dyDescent="0.3">
      <c r="A19" s="11" t="s">
        <v>254</v>
      </c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3">
        <f t="shared" si="4"/>
        <v>0</v>
      </c>
    </row>
    <row r="20" spans="1:14" ht="14.4" x14ac:dyDescent="0.3">
      <c r="A20" s="11" t="s">
        <v>255</v>
      </c>
      <c r="B20" s="13">
        <f>1488.15</f>
        <v>1488.15</v>
      </c>
      <c r="C20" s="13">
        <f>1392.88</f>
        <v>1392.88</v>
      </c>
      <c r="D20" s="13">
        <f>1449.95</f>
        <v>1449.95</v>
      </c>
      <c r="E20" s="13">
        <f>1600.77</f>
        <v>1600.77</v>
      </c>
      <c r="F20" s="13">
        <f>1854.99</f>
        <v>1854.99</v>
      </c>
      <c r="G20" s="13">
        <f>1630.32</f>
        <v>1630.32</v>
      </c>
      <c r="H20" s="13">
        <f>1723.97</f>
        <v>1723.97</v>
      </c>
      <c r="I20" s="13">
        <f>1689.93</f>
        <v>1689.93</v>
      </c>
      <c r="J20" s="13">
        <f>1711.25</f>
        <v>1711.25</v>
      </c>
      <c r="K20" s="13">
        <f>1838.32</f>
        <v>1838.32</v>
      </c>
      <c r="L20" s="13">
        <f>1924.27</f>
        <v>1924.27</v>
      </c>
      <c r="M20" s="13">
        <f>1799.09</f>
        <v>1799.09</v>
      </c>
      <c r="N20" s="13">
        <f t="shared" si="4"/>
        <v>20103.89</v>
      </c>
    </row>
    <row r="21" spans="1:14" ht="15.75" customHeight="1" x14ac:dyDescent="0.3">
      <c r="A21" s="11" t="s">
        <v>256</v>
      </c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3">
        <f>1032</f>
        <v>1032</v>
      </c>
      <c r="M21" s="12"/>
      <c r="N21" s="13">
        <f t="shared" si="4"/>
        <v>1032</v>
      </c>
    </row>
    <row r="22" spans="1:14" ht="15.75" customHeight="1" x14ac:dyDescent="0.3">
      <c r="A22" s="11" t="s">
        <v>257</v>
      </c>
      <c r="B22" s="14">
        <f t="shared" ref="B22:M22" si="7">((B19)+(B20))+(B21)</f>
        <v>1488.15</v>
      </c>
      <c r="C22" s="14">
        <f t="shared" si="7"/>
        <v>1392.88</v>
      </c>
      <c r="D22" s="14">
        <f t="shared" si="7"/>
        <v>1449.95</v>
      </c>
      <c r="E22" s="14">
        <f t="shared" si="7"/>
        <v>1600.77</v>
      </c>
      <c r="F22" s="14">
        <f t="shared" si="7"/>
        <v>1854.99</v>
      </c>
      <c r="G22" s="14">
        <f t="shared" si="7"/>
        <v>1630.32</v>
      </c>
      <c r="H22" s="14">
        <f t="shared" si="7"/>
        <v>1723.97</v>
      </c>
      <c r="I22" s="14">
        <f t="shared" si="7"/>
        <v>1689.93</v>
      </c>
      <c r="J22" s="14">
        <f t="shared" si="7"/>
        <v>1711.25</v>
      </c>
      <c r="K22" s="14">
        <f t="shared" si="7"/>
        <v>1838.32</v>
      </c>
      <c r="L22" s="14">
        <f t="shared" si="7"/>
        <v>2956.27</v>
      </c>
      <c r="M22" s="14">
        <f t="shared" si="7"/>
        <v>1799.09</v>
      </c>
      <c r="N22" s="14">
        <f t="shared" si="4"/>
        <v>21135.89</v>
      </c>
    </row>
    <row r="23" spans="1:14" ht="15.75" customHeight="1" x14ac:dyDescent="0.3">
      <c r="A23" s="11" t="s">
        <v>324</v>
      </c>
      <c r="B23" s="12"/>
      <c r="C23" s="12"/>
      <c r="D23" s="13">
        <f>1</f>
        <v>1</v>
      </c>
      <c r="E23" s="13">
        <f>-1</f>
        <v>-1</v>
      </c>
      <c r="F23" s="13">
        <f>15</f>
        <v>15</v>
      </c>
      <c r="G23" s="12"/>
      <c r="H23" s="12"/>
      <c r="I23" s="12"/>
      <c r="J23" s="12"/>
      <c r="K23" s="12"/>
      <c r="L23" s="12"/>
      <c r="M23" s="12"/>
      <c r="N23" s="13">
        <f t="shared" si="4"/>
        <v>15</v>
      </c>
    </row>
    <row r="24" spans="1:14" ht="15.75" customHeight="1" x14ac:dyDescent="0.3">
      <c r="A24" s="11" t="s">
        <v>258</v>
      </c>
      <c r="B24" s="13">
        <f>2224.95</f>
        <v>2224.9499999999998</v>
      </c>
      <c r="C24" s="13">
        <f>1600.6</f>
        <v>1600.6</v>
      </c>
      <c r="D24" s="13">
        <f>878.55</f>
        <v>878.55</v>
      </c>
      <c r="E24" s="13">
        <f>1485.71</f>
        <v>1485.71</v>
      </c>
      <c r="F24" s="13">
        <f>2043.67</f>
        <v>2043.67</v>
      </c>
      <c r="G24" s="13">
        <f>4865.81</f>
        <v>4865.8100000000004</v>
      </c>
      <c r="H24" s="13">
        <f>3071.31</f>
        <v>3071.31</v>
      </c>
      <c r="I24" s="13">
        <f>4249.41</f>
        <v>4249.41</v>
      </c>
      <c r="J24" s="13">
        <f>4614.82</f>
        <v>4614.82</v>
      </c>
      <c r="K24" s="13">
        <f>2990.76</f>
        <v>2990.76</v>
      </c>
      <c r="L24" s="13">
        <f>2375.33</f>
        <v>2375.33</v>
      </c>
      <c r="M24" s="13">
        <f>1385.61</f>
        <v>1385.61</v>
      </c>
      <c r="N24" s="13">
        <f t="shared" si="4"/>
        <v>31786.530000000006</v>
      </c>
    </row>
    <row r="25" spans="1:14" ht="15.75" customHeight="1" x14ac:dyDescent="0.3">
      <c r="A25" s="11" t="s">
        <v>260</v>
      </c>
      <c r="B25" s="13">
        <f>193.64</f>
        <v>193.64</v>
      </c>
      <c r="C25" s="12"/>
      <c r="D25" s="12"/>
      <c r="E25" s="12"/>
      <c r="F25" s="13">
        <f>49.53</f>
        <v>49.53</v>
      </c>
      <c r="G25" s="12"/>
      <c r="H25" s="12"/>
      <c r="I25" s="12"/>
      <c r="J25" s="12"/>
      <c r="K25" s="12"/>
      <c r="L25" s="12"/>
      <c r="M25" s="12"/>
      <c r="N25" s="13">
        <f t="shared" si="4"/>
        <v>243.17</v>
      </c>
    </row>
    <row r="26" spans="1:14" ht="15.75" customHeight="1" x14ac:dyDescent="0.3">
      <c r="A26" s="11" t="s">
        <v>325</v>
      </c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3">
        <f t="shared" si="4"/>
        <v>0</v>
      </c>
    </row>
    <row r="27" spans="1:14" ht="15.75" customHeight="1" x14ac:dyDescent="0.3">
      <c r="A27" s="11" t="s">
        <v>263</v>
      </c>
      <c r="B27" s="12"/>
      <c r="C27" s="13">
        <f>3820.18</f>
        <v>3820.18</v>
      </c>
      <c r="D27" s="12"/>
      <c r="E27" s="13">
        <f>238.89</f>
        <v>238.89</v>
      </c>
      <c r="F27" s="13">
        <f>2230.66</f>
        <v>2230.66</v>
      </c>
      <c r="G27" s="13">
        <f>2458.8</f>
        <v>2458.8000000000002</v>
      </c>
      <c r="H27" s="13">
        <f>4974.14</f>
        <v>4974.1400000000003</v>
      </c>
      <c r="I27" s="12"/>
      <c r="J27" s="13">
        <f>361.24</f>
        <v>361.24</v>
      </c>
      <c r="K27" s="13">
        <f>3041.68</f>
        <v>3041.68</v>
      </c>
      <c r="L27" s="13">
        <f>8991.79</f>
        <v>8991.7900000000009</v>
      </c>
      <c r="M27" s="13">
        <f>6892.77</f>
        <v>6892.77</v>
      </c>
      <c r="N27" s="13">
        <f t="shared" si="4"/>
        <v>33010.149999999994</v>
      </c>
    </row>
    <row r="28" spans="1:14" ht="15.75" customHeight="1" x14ac:dyDescent="0.3">
      <c r="A28" s="11" t="s">
        <v>264</v>
      </c>
      <c r="B28" s="13">
        <f>193.89</f>
        <v>193.89</v>
      </c>
      <c r="C28" s="13">
        <f>194.48</f>
        <v>194.48</v>
      </c>
      <c r="D28" s="13">
        <f>182.49</f>
        <v>182.49</v>
      </c>
      <c r="E28" s="13">
        <f>374.36</f>
        <v>374.36</v>
      </c>
      <c r="F28" s="12"/>
      <c r="G28" s="12"/>
      <c r="H28" s="13">
        <f>552.68</f>
        <v>552.67999999999995</v>
      </c>
      <c r="I28" s="12"/>
      <c r="J28" s="13">
        <f>210.8</f>
        <v>210.8</v>
      </c>
      <c r="K28" s="13">
        <f>275.51</f>
        <v>275.51</v>
      </c>
      <c r="L28" s="13">
        <f>313.82</f>
        <v>313.82</v>
      </c>
      <c r="M28" s="13">
        <f>317.42</f>
        <v>317.42</v>
      </c>
      <c r="N28" s="13">
        <f t="shared" si="4"/>
        <v>2615.4500000000003</v>
      </c>
    </row>
    <row r="29" spans="1:14" ht="15.75" customHeight="1" x14ac:dyDescent="0.3">
      <c r="A29" s="11" t="s">
        <v>265</v>
      </c>
      <c r="B29" s="13">
        <f>359.98</f>
        <v>359.98</v>
      </c>
      <c r="C29" s="13">
        <f>383.61</f>
        <v>383.61</v>
      </c>
      <c r="D29" s="13">
        <f>390.84</f>
        <v>390.84</v>
      </c>
      <c r="E29" s="13">
        <f>360.31</f>
        <v>360.31</v>
      </c>
      <c r="F29" s="13">
        <f>357.96</f>
        <v>357.96</v>
      </c>
      <c r="G29" s="13">
        <f>369.61</f>
        <v>369.61</v>
      </c>
      <c r="H29" s="13">
        <f>408.37</f>
        <v>408.37</v>
      </c>
      <c r="I29" s="13">
        <f>459.95</f>
        <v>459.95</v>
      </c>
      <c r="J29" s="13">
        <f>453.51</f>
        <v>453.51</v>
      </c>
      <c r="K29" s="13">
        <f>430.94</f>
        <v>430.94</v>
      </c>
      <c r="L29" s="13">
        <f>407.06</f>
        <v>407.06</v>
      </c>
      <c r="M29" s="13">
        <f>400.61</f>
        <v>400.61</v>
      </c>
      <c r="N29" s="13">
        <f t="shared" si="4"/>
        <v>4782.7499999999991</v>
      </c>
    </row>
    <row r="30" spans="1:14" ht="15.75" customHeight="1" x14ac:dyDescent="0.3">
      <c r="A30" s="11" t="s">
        <v>326</v>
      </c>
      <c r="B30" s="13">
        <f>940.05</f>
        <v>940.05</v>
      </c>
      <c r="C30" s="12"/>
      <c r="D30" s="12"/>
      <c r="E30" s="13">
        <f>644.67</f>
        <v>644.66999999999996</v>
      </c>
      <c r="F30" s="13">
        <f>1915.08</f>
        <v>1915.08</v>
      </c>
      <c r="G30" s="13">
        <f>593.77</f>
        <v>593.77</v>
      </c>
      <c r="H30" s="13">
        <f>42.4</f>
        <v>42.4</v>
      </c>
      <c r="I30" s="13">
        <f>733.75</f>
        <v>733.75</v>
      </c>
      <c r="J30" s="13">
        <f>600.89</f>
        <v>600.89</v>
      </c>
      <c r="K30" s="12"/>
      <c r="L30" s="13">
        <f>642.56</f>
        <v>642.55999999999995</v>
      </c>
      <c r="M30" s="13">
        <f>1285.12</f>
        <v>1285.1199999999999</v>
      </c>
      <c r="N30" s="13">
        <f t="shared" si="4"/>
        <v>7398.29</v>
      </c>
    </row>
    <row r="31" spans="1:14" ht="15.75" customHeight="1" x14ac:dyDescent="0.3">
      <c r="A31" s="11" t="s">
        <v>327</v>
      </c>
      <c r="B31" s="14">
        <f t="shared" ref="B31:M31" si="8">((((B26)+(B27))+(B28))+(B29))+(B30)</f>
        <v>1493.92</v>
      </c>
      <c r="C31" s="14">
        <f t="shared" si="8"/>
        <v>4398.2699999999995</v>
      </c>
      <c r="D31" s="14">
        <f t="shared" si="8"/>
        <v>573.32999999999993</v>
      </c>
      <c r="E31" s="14">
        <f t="shared" si="8"/>
        <v>1618.23</v>
      </c>
      <c r="F31" s="14">
        <f t="shared" si="8"/>
        <v>4503.7</v>
      </c>
      <c r="G31" s="14">
        <f t="shared" si="8"/>
        <v>3422.1800000000003</v>
      </c>
      <c r="H31" s="14">
        <f t="shared" si="8"/>
        <v>5977.59</v>
      </c>
      <c r="I31" s="14">
        <f t="shared" si="8"/>
        <v>1193.7</v>
      </c>
      <c r="J31" s="14">
        <f t="shared" si="8"/>
        <v>1626.44</v>
      </c>
      <c r="K31" s="14">
        <f t="shared" si="8"/>
        <v>3748.1299999999997</v>
      </c>
      <c r="L31" s="14">
        <f t="shared" si="8"/>
        <v>10355.23</v>
      </c>
      <c r="M31" s="14">
        <f t="shared" si="8"/>
        <v>8895.92</v>
      </c>
      <c r="N31" s="14">
        <f t="shared" si="4"/>
        <v>47806.64</v>
      </c>
    </row>
    <row r="32" spans="1:14" ht="15.75" customHeight="1" x14ac:dyDescent="0.3">
      <c r="A32" s="11" t="s">
        <v>269</v>
      </c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3">
        <f t="shared" si="4"/>
        <v>0</v>
      </c>
    </row>
    <row r="33" spans="1:14" ht="15.75" customHeight="1" x14ac:dyDescent="0.3">
      <c r="A33" s="11" t="s">
        <v>328</v>
      </c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3">
        <f>1110</f>
        <v>1110</v>
      </c>
      <c r="M33" s="13">
        <f>1300</f>
        <v>1300</v>
      </c>
      <c r="N33" s="13">
        <f t="shared" si="4"/>
        <v>2410</v>
      </c>
    </row>
    <row r="34" spans="1:14" ht="15.75" customHeight="1" x14ac:dyDescent="0.3">
      <c r="A34" s="11" t="s">
        <v>271</v>
      </c>
      <c r="B34" s="13">
        <f>910</f>
        <v>910</v>
      </c>
      <c r="C34" s="13">
        <f>420</f>
        <v>420</v>
      </c>
      <c r="D34" s="13">
        <f>1095</f>
        <v>1095</v>
      </c>
      <c r="E34" s="13">
        <f>420</f>
        <v>420</v>
      </c>
      <c r="F34" s="13">
        <f>700</f>
        <v>700</v>
      </c>
      <c r="G34" s="13">
        <f>420</f>
        <v>420</v>
      </c>
      <c r="H34" s="13">
        <f>645</f>
        <v>645</v>
      </c>
      <c r="I34" s="12"/>
      <c r="J34" s="13">
        <f>880</f>
        <v>880</v>
      </c>
      <c r="K34" s="12"/>
      <c r="L34" s="12"/>
      <c r="M34" s="12"/>
      <c r="N34" s="13">
        <f t="shared" si="4"/>
        <v>5490</v>
      </c>
    </row>
    <row r="35" spans="1:14" ht="15.75" customHeight="1" x14ac:dyDescent="0.3">
      <c r="A35" s="11" t="s">
        <v>273</v>
      </c>
      <c r="B35" s="12"/>
      <c r="C35" s="12"/>
      <c r="D35" s="13">
        <f>273.75</f>
        <v>273.75</v>
      </c>
      <c r="E35" s="12"/>
      <c r="F35" s="12"/>
      <c r="G35" s="12"/>
      <c r="H35" s="12"/>
      <c r="I35" s="12"/>
      <c r="J35" s="13">
        <f>273.75</f>
        <v>273.75</v>
      </c>
      <c r="K35" s="12"/>
      <c r="L35" s="12"/>
      <c r="M35" s="12"/>
      <c r="N35" s="13">
        <f t="shared" si="4"/>
        <v>547.5</v>
      </c>
    </row>
    <row r="36" spans="1:14" ht="15.75" customHeight="1" x14ac:dyDescent="0.3">
      <c r="A36" s="11" t="s">
        <v>274</v>
      </c>
      <c r="B36" s="14">
        <f t="shared" ref="B36:M36" si="9">(((B32)+(B33))+(B34))+(B35)</f>
        <v>910</v>
      </c>
      <c r="C36" s="14">
        <f t="shared" si="9"/>
        <v>420</v>
      </c>
      <c r="D36" s="14">
        <f t="shared" si="9"/>
        <v>1368.75</v>
      </c>
      <c r="E36" s="14">
        <f t="shared" si="9"/>
        <v>420</v>
      </c>
      <c r="F36" s="14">
        <f t="shared" si="9"/>
        <v>700</v>
      </c>
      <c r="G36" s="14">
        <f t="shared" si="9"/>
        <v>420</v>
      </c>
      <c r="H36" s="14">
        <f t="shared" si="9"/>
        <v>645</v>
      </c>
      <c r="I36" s="14">
        <f t="shared" si="9"/>
        <v>0</v>
      </c>
      <c r="J36" s="14">
        <f t="shared" si="9"/>
        <v>1153.75</v>
      </c>
      <c r="K36" s="14">
        <f t="shared" si="9"/>
        <v>0</v>
      </c>
      <c r="L36" s="14">
        <f t="shared" si="9"/>
        <v>1110</v>
      </c>
      <c r="M36" s="14">
        <f t="shared" si="9"/>
        <v>1300</v>
      </c>
      <c r="N36" s="14">
        <f t="shared" si="4"/>
        <v>8447.5</v>
      </c>
    </row>
    <row r="37" spans="1:14" ht="15.75" customHeight="1" x14ac:dyDescent="0.3">
      <c r="A37" s="11" t="s">
        <v>329</v>
      </c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3">
        <f t="shared" si="4"/>
        <v>0</v>
      </c>
    </row>
    <row r="38" spans="1:14" ht="15.75" customHeight="1" x14ac:dyDescent="0.3">
      <c r="A38" s="11" t="s">
        <v>276</v>
      </c>
      <c r="B38" s="12"/>
      <c r="C38" s="12"/>
      <c r="D38" s="13">
        <f>-6092.61</f>
        <v>-6092.61</v>
      </c>
      <c r="E38" s="12"/>
      <c r="F38" s="12"/>
      <c r="G38" s="12"/>
      <c r="H38" s="12"/>
      <c r="I38" s="12"/>
      <c r="J38" s="13">
        <f>16718.46</f>
        <v>16718.46</v>
      </c>
      <c r="K38" s="12"/>
      <c r="L38" s="12"/>
      <c r="M38" s="12"/>
      <c r="N38" s="13">
        <f t="shared" si="4"/>
        <v>10625.849999999999</v>
      </c>
    </row>
    <row r="39" spans="1:14" ht="15.75" customHeight="1" x14ac:dyDescent="0.3">
      <c r="A39" s="11" t="s">
        <v>330</v>
      </c>
      <c r="B39" s="14">
        <f t="shared" ref="B39:M39" si="10">(B37)+(B38)</f>
        <v>0</v>
      </c>
      <c r="C39" s="14">
        <f t="shared" si="10"/>
        <v>0</v>
      </c>
      <c r="D39" s="14">
        <f t="shared" si="10"/>
        <v>-6092.61</v>
      </c>
      <c r="E39" s="14">
        <f t="shared" si="10"/>
        <v>0</v>
      </c>
      <c r="F39" s="14">
        <f t="shared" si="10"/>
        <v>0</v>
      </c>
      <c r="G39" s="14">
        <f t="shared" si="10"/>
        <v>0</v>
      </c>
      <c r="H39" s="14">
        <f t="shared" si="10"/>
        <v>0</v>
      </c>
      <c r="I39" s="14">
        <f t="shared" si="10"/>
        <v>0</v>
      </c>
      <c r="J39" s="14">
        <f t="shared" si="10"/>
        <v>16718.46</v>
      </c>
      <c r="K39" s="14">
        <f t="shared" si="10"/>
        <v>0</v>
      </c>
      <c r="L39" s="14">
        <f t="shared" si="10"/>
        <v>0</v>
      </c>
      <c r="M39" s="14">
        <f t="shared" si="10"/>
        <v>0</v>
      </c>
      <c r="N39" s="14">
        <f t="shared" si="4"/>
        <v>10625.849999999999</v>
      </c>
    </row>
    <row r="40" spans="1:14" ht="15.75" customHeight="1" x14ac:dyDescent="0.3">
      <c r="A40" s="11" t="s">
        <v>331</v>
      </c>
      <c r="B40" s="12"/>
      <c r="C40" s="12"/>
      <c r="D40" s="12"/>
      <c r="E40" s="12"/>
      <c r="F40" s="13">
        <f>22000</f>
        <v>22000</v>
      </c>
      <c r="G40" s="13">
        <f>65</f>
        <v>65</v>
      </c>
      <c r="H40" s="13">
        <f>1300</f>
        <v>1300</v>
      </c>
      <c r="I40" s="12"/>
      <c r="J40" s="12"/>
      <c r="K40" s="12"/>
      <c r="L40" s="12"/>
      <c r="M40" s="12"/>
      <c r="N40" s="13">
        <f t="shared" si="4"/>
        <v>23365</v>
      </c>
    </row>
    <row r="41" spans="1:14" ht="15.75" customHeight="1" x14ac:dyDescent="0.3">
      <c r="A41" s="11" t="s">
        <v>332</v>
      </c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>
        <f t="shared" si="4"/>
        <v>0</v>
      </c>
    </row>
    <row r="42" spans="1:14" ht="15.75" customHeight="1" x14ac:dyDescent="0.3">
      <c r="A42" s="11" t="s">
        <v>282</v>
      </c>
      <c r="B42" s="14">
        <f t="shared" ref="B42:M42" si="11">(((((((((((B14)+(B17))+(B18))+(B22))+(B23))+(B24))+(B25))+(B31))+(B36))+(B39))+(B40))+(B41)</f>
        <v>6484.9</v>
      </c>
      <c r="C42" s="14">
        <f t="shared" si="11"/>
        <v>7811.75</v>
      </c>
      <c r="D42" s="14">
        <f t="shared" si="11"/>
        <v>-1587.8999999999996</v>
      </c>
      <c r="E42" s="14">
        <f t="shared" si="11"/>
        <v>5123.71</v>
      </c>
      <c r="F42" s="14">
        <f t="shared" si="11"/>
        <v>31385.89</v>
      </c>
      <c r="G42" s="14">
        <f t="shared" si="11"/>
        <v>10403.310000000001</v>
      </c>
      <c r="H42" s="14">
        <f t="shared" si="11"/>
        <v>12936.869999999999</v>
      </c>
      <c r="I42" s="14">
        <f t="shared" si="11"/>
        <v>7352.04</v>
      </c>
      <c r="J42" s="14">
        <f t="shared" si="11"/>
        <v>26043.72</v>
      </c>
      <c r="K42" s="14">
        <f t="shared" si="11"/>
        <v>8796.2099999999991</v>
      </c>
      <c r="L42" s="14">
        <f t="shared" si="11"/>
        <v>16829.77</v>
      </c>
      <c r="M42" s="14">
        <f t="shared" si="11"/>
        <v>14037.619999999999</v>
      </c>
      <c r="N42" s="14">
        <f t="shared" si="4"/>
        <v>145617.88999999998</v>
      </c>
    </row>
    <row r="43" spans="1:14" ht="15.75" customHeight="1" x14ac:dyDescent="0.3">
      <c r="A43" s="11" t="s">
        <v>0</v>
      </c>
      <c r="B43" s="14">
        <f t="shared" ref="B43:M43" si="12">(B12)-(B42)</f>
        <v>18214.080000000002</v>
      </c>
      <c r="C43" s="14">
        <f t="shared" si="12"/>
        <v>20164.02</v>
      </c>
      <c r="D43" s="14">
        <f t="shared" si="12"/>
        <v>22917.85</v>
      </c>
      <c r="E43" s="14">
        <f t="shared" si="12"/>
        <v>24252.97</v>
      </c>
      <c r="F43" s="14">
        <f t="shared" si="12"/>
        <v>-7082.4199999999983</v>
      </c>
      <c r="G43" s="14">
        <f t="shared" si="12"/>
        <v>14403.8</v>
      </c>
      <c r="H43" s="14">
        <f t="shared" si="12"/>
        <v>17781.960000000003</v>
      </c>
      <c r="I43" s="14">
        <f t="shared" si="12"/>
        <v>19362.05</v>
      </c>
      <c r="J43" s="14">
        <f t="shared" si="12"/>
        <v>4767.4699999999975</v>
      </c>
      <c r="K43" s="14">
        <f t="shared" si="12"/>
        <v>19057.870000000003</v>
      </c>
      <c r="L43" s="14">
        <f t="shared" si="12"/>
        <v>10118.849999999999</v>
      </c>
      <c r="M43" s="14">
        <f t="shared" si="12"/>
        <v>15392.900000000001</v>
      </c>
      <c r="N43" s="14">
        <f t="shared" si="4"/>
        <v>179351.40000000002</v>
      </c>
    </row>
    <row r="44" spans="1:14" ht="15.75" customHeight="1" x14ac:dyDescent="0.3">
      <c r="A44" s="11" t="s">
        <v>333</v>
      </c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</row>
    <row r="45" spans="1:14" ht="15.75" customHeight="1" x14ac:dyDescent="0.3">
      <c r="A45" s="11" t="s">
        <v>334</v>
      </c>
      <c r="B45" s="13">
        <f>8.89</f>
        <v>8.89</v>
      </c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3">
        <f t="shared" ref="N45:N48" si="13">(((((((((((B45)+(C45))+(D45))+(E45))+(F45))+(G45))+(H45))+(I45))+(J45))+(K45))+(L45))+(M45)</f>
        <v>8.89</v>
      </c>
    </row>
    <row r="46" spans="1:14" ht="15.75" customHeight="1" x14ac:dyDescent="0.3">
      <c r="A46" s="11" t="s">
        <v>335</v>
      </c>
      <c r="B46" s="14">
        <f t="shared" ref="B46:M46" si="14">B45</f>
        <v>8.89</v>
      </c>
      <c r="C46" s="14">
        <f t="shared" si="14"/>
        <v>0</v>
      </c>
      <c r="D46" s="14">
        <f t="shared" si="14"/>
        <v>0</v>
      </c>
      <c r="E46" s="14">
        <f t="shared" si="14"/>
        <v>0</v>
      </c>
      <c r="F46" s="14">
        <f t="shared" si="14"/>
        <v>0</v>
      </c>
      <c r="G46" s="14">
        <f t="shared" si="14"/>
        <v>0</v>
      </c>
      <c r="H46" s="14">
        <f t="shared" si="14"/>
        <v>0</v>
      </c>
      <c r="I46" s="14">
        <f t="shared" si="14"/>
        <v>0</v>
      </c>
      <c r="J46" s="14">
        <f t="shared" si="14"/>
        <v>0</v>
      </c>
      <c r="K46" s="14">
        <f t="shared" si="14"/>
        <v>0</v>
      </c>
      <c r="L46" s="14">
        <f t="shared" si="14"/>
        <v>0</v>
      </c>
      <c r="M46" s="14">
        <f t="shared" si="14"/>
        <v>0</v>
      </c>
      <c r="N46" s="14">
        <f t="shared" si="13"/>
        <v>8.89</v>
      </c>
    </row>
    <row r="47" spans="1:14" ht="15.75" customHeight="1" x14ac:dyDescent="0.3">
      <c r="A47" s="11" t="s">
        <v>316</v>
      </c>
      <c r="B47" s="14">
        <f t="shared" ref="B47:M47" si="15">(B46)-(0)</f>
        <v>8.89</v>
      </c>
      <c r="C47" s="14">
        <f t="shared" si="15"/>
        <v>0</v>
      </c>
      <c r="D47" s="14">
        <f t="shared" si="15"/>
        <v>0</v>
      </c>
      <c r="E47" s="14">
        <f t="shared" si="15"/>
        <v>0</v>
      </c>
      <c r="F47" s="14">
        <f t="shared" si="15"/>
        <v>0</v>
      </c>
      <c r="G47" s="14">
        <f t="shared" si="15"/>
        <v>0</v>
      </c>
      <c r="H47" s="14">
        <f t="shared" si="15"/>
        <v>0</v>
      </c>
      <c r="I47" s="14">
        <f t="shared" si="15"/>
        <v>0</v>
      </c>
      <c r="J47" s="14">
        <f t="shared" si="15"/>
        <v>0</v>
      </c>
      <c r="K47" s="14">
        <f t="shared" si="15"/>
        <v>0</v>
      </c>
      <c r="L47" s="14">
        <f t="shared" si="15"/>
        <v>0</v>
      </c>
      <c r="M47" s="14">
        <f t="shared" si="15"/>
        <v>0</v>
      </c>
      <c r="N47" s="14">
        <f t="shared" si="13"/>
        <v>8.89</v>
      </c>
    </row>
    <row r="48" spans="1:14" ht="15.75" customHeight="1" x14ac:dyDescent="0.3">
      <c r="A48" s="11" t="s">
        <v>283</v>
      </c>
      <c r="B48" s="14">
        <f t="shared" ref="B48:M48" si="16">(B43)+(B47)</f>
        <v>18222.97</v>
      </c>
      <c r="C48" s="14">
        <f t="shared" si="16"/>
        <v>20164.02</v>
      </c>
      <c r="D48" s="14">
        <f t="shared" si="16"/>
        <v>22917.85</v>
      </c>
      <c r="E48" s="14">
        <f t="shared" si="16"/>
        <v>24252.97</v>
      </c>
      <c r="F48" s="14">
        <f t="shared" si="16"/>
        <v>-7082.4199999999983</v>
      </c>
      <c r="G48" s="14">
        <f t="shared" si="16"/>
        <v>14403.8</v>
      </c>
      <c r="H48" s="14">
        <f t="shared" si="16"/>
        <v>17781.960000000003</v>
      </c>
      <c r="I48" s="14">
        <f t="shared" si="16"/>
        <v>19362.05</v>
      </c>
      <c r="J48" s="14">
        <f t="shared" si="16"/>
        <v>4767.4699999999975</v>
      </c>
      <c r="K48" s="14">
        <f t="shared" si="16"/>
        <v>19057.870000000003</v>
      </c>
      <c r="L48" s="14">
        <f t="shared" si="16"/>
        <v>10118.849999999999</v>
      </c>
      <c r="M48" s="14">
        <f t="shared" si="16"/>
        <v>15392.900000000001</v>
      </c>
      <c r="N48" s="14">
        <f t="shared" si="13"/>
        <v>179360.29</v>
      </c>
    </row>
    <row r="49" spans="1:14" ht="15.75" customHeight="1" x14ac:dyDescent="0.3">
      <c r="A49" s="11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</row>
    <row r="50" spans="1:14" ht="15.75" customHeight="1" x14ac:dyDescent="0.3"/>
    <row r="51" spans="1:14" ht="15.75" customHeight="1" x14ac:dyDescent="0.3"/>
    <row r="52" spans="1:14" ht="15.75" customHeight="1" x14ac:dyDescent="0.3">
      <c r="A52" s="23" t="s">
        <v>336</v>
      </c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</row>
    <row r="53" spans="1:14" ht="15.75" customHeight="1" x14ac:dyDescent="0.3"/>
    <row r="54" spans="1:14" ht="15.75" customHeight="1" x14ac:dyDescent="0.3"/>
    <row r="55" spans="1:14" ht="15.75" customHeight="1" x14ac:dyDescent="0.3"/>
    <row r="56" spans="1:14" ht="15.75" customHeight="1" x14ac:dyDescent="0.3"/>
    <row r="57" spans="1:14" ht="15.75" customHeight="1" x14ac:dyDescent="0.3"/>
    <row r="58" spans="1:14" ht="15.75" customHeight="1" x14ac:dyDescent="0.3"/>
    <row r="59" spans="1:14" ht="15.75" customHeight="1" x14ac:dyDescent="0.3"/>
    <row r="60" spans="1:14" ht="15.75" customHeight="1" x14ac:dyDescent="0.3"/>
    <row r="61" spans="1:14" ht="15.75" customHeight="1" x14ac:dyDescent="0.3"/>
    <row r="62" spans="1:14" ht="15.75" customHeight="1" x14ac:dyDescent="0.3"/>
    <row r="63" spans="1:14" ht="15.75" customHeight="1" x14ac:dyDescent="0.3"/>
    <row r="64" spans="1:1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mergeCells count="4">
    <mergeCell ref="A1:N1"/>
    <mergeCell ref="A2:N2"/>
    <mergeCell ref="A3:N3"/>
    <mergeCell ref="A52:N52"/>
  </mergeCells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1000"/>
  <sheetViews>
    <sheetView workbookViewId="0"/>
  </sheetViews>
  <sheetFormatPr defaultColWidth="14.44140625" defaultRowHeight="15" customHeight="1" x14ac:dyDescent="0.3"/>
  <cols>
    <col min="1" max="1" width="30.109375" customWidth="1"/>
    <col min="2" max="3" width="9.44140625" customWidth="1"/>
    <col min="4" max="4" width="10.33203125" customWidth="1"/>
    <col min="5" max="8" width="9.44140625" customWidth="1"/>
    <col min="9" max="9" width="11.109375" customWidth="1"/>
    <col min="10" max="12" width="9.44140625" customWidth="1"/>
    <col min="13" max="14" width="11.109375" customWidth="1"/>
    <col min="15" max="15" width="8.6640625" customWidth="1"/>
    <col min="16" max="16" width="30.109375" customWidth="1"/>
    <col min="17" max="17" width="13.33203125" customWidth="1"/>
    <col min="18" max="26" width="8.6640625" customWidth="1"/>
  </cols>
  <sheetData>
    <row r="1" spans="1:14" ht="17.399999999999999" x14ac:dyDescent="0.3">
      <c r="A1" s="21" t="s">
        <v>318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</row>
    <row r="2" spans="1:14" ht="17.399999999999999" x14ac:dyDescent="0.3">
      <c r="A2" s="21" t="s">
        <v>221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</row>
    <row r="3" spans="1:14" ht="14.4" x14ac:dyDescent="0.3">
      <c r="A3" s="22" t="s">
        <v>285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</row>
    <row r="5" spans="1:14" ht="14.4" x14ac:dyDescent="0.3">
      <c r="A5" s="9"/>
      <c r="B5" s="10" t="s">
        <v>286</v>
      </c>
      <c r="C5" s="10" t="s">
        <v>287</v>
      </c>
      <c r="D5" s="10" t="s">
        <v>288</v>
      </c>
      <c r="E5" s="10" t="s">
        <v>223</v>
      </c>
      <c r="F5" s="10" t="s">
        <v>224</v>
      </c>
      <c r="G5" s="10" t="s">
        <v>225</v>
      </c>
      <c r="H5" s="10" t="s">
        <v>226</v>
      </c>
      <c r="I5" s="10" t="s">
        <v>227</v>
      </c>
      <c r="J5" s="10" t="s">
        <v>228</v>
      </c>
      <c r="K5" s="10" t="s">
        <v>229</v>
      </c>
      <c r="L5" s="10" t="s">
        <v>230</v>
      </c>
      <c r="M5" s="10" t="s">
        <v>231</v>
      </c>
      <c r="N5" s="10" t="s">
        <v>17</v>
      </c>
    </row>
    <row r="6" spans="1:14" ht="14.4" x14ac:dyDescent="0.3">
      <c r="A6" s="11" t="s">
        <v>236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</row>
    <row r="7" spans="1:14" ht="14.4" x14ac:dyDescent="0.3">
      <c r="A7" s="11" t="s">
        <v>237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3">
        <f t="shared" ref="N7:N12" si="0">(((((((((((B7)+(C7))+(D7))+(E7))+(F7))+(G7))+(H7))+(I7))+(J7))+(K7))+(L7))+(M7)</f>
        <v>0</v>
      </c>
    </row>
    <row r="8" spans="1:14" ht="14.4" x14ac:dyDescent="0.3">
      <c r="A8" s="11" t="s">
        <v>238</v>
      </c>
      <c r="B8" s="13">
        <f>23453.31</f>
        <v>23453.31</v>
      </c>
      <c r="C8" s="13">
        <f>23943.59</f>
        <v>23943.59</v>
      </c>
      <c r="D8" s="13">
        <f>21541.9</f>
        <v>21541.9</v>
      </c>
      <c r="E8" s="13">
        <f>24698.98</f>
        <v>24698.98</v>
      </c>
      <c r="F8" s="13">
        <f>27975.77</f>
        <v>27975.77</v>
      </c>
      <c r="G8" s="13">
        <f>21329.95</f>
        <v>21329.95</v>
      </c>
      <c r="H8" s="13">
        <f>29376.68</f>
        <v>29376.68</v>
      </c>
      <c r="I8" s="13">
        <f>24430.47</f>
        <v>24430.47</v>
      </c>
      <c r="J8" s="13">
        <f>24807.11</f>
        <v>24807.11</v>
      </c>
      <c r="K8" s="13">
        <f>30718.83</f>
        <v>30718.83</v>
      </c>
      <c r="L8" s="13">
        <f>26714.09</f>
        <v>26714.09</v>
      </c>
      <c r="M8" s="13">
        <f>30811.19</f>
        <v>30811.19</v>
      </c>
      <c r="N8" s="13">
        <f t="shared" si="0"/>
        <v>309801.87000000005</v>
      </c>
    </row>
    <row r="9" spans="1:14" ht="14.4" x14ac:dyDescent="0.3">
      <c r="A9" s="11" t="s">
        <v>239</v>
      </c>
      <c r="B9" s="12"/>
      <c r="C9" s="12"/>
      <c r="D9" s="12"/>
      <c r="E9" s="12"/>
      <c r="F9" s="12"/>
      <c r="G9" s="12"/>
      <c r="H9" s="12"/>
      <c r="I9" s="13">
        <f>-127</f>
        <v>-127</v>
      </c>
      <c r="J9" s="12"/>
      <c r="K9" s="12"/>
      <c r="L9" s="12"/>
      <c r="M9" s="12"/>
      <c r="N9" s="13">
        <f t="shared" si="0"/>
        <v>-127</v>
      </c>
    </row>
    <row r="10" spans="1:14" ht="14.4" x14ac:dyDescent="0.3">
      <c r="A10" s="11" t="s">
        <v>240</v>
      </c>
      <c r="B10" s="14">
        <f t="shared" ref="B10:M10" si="1">((B7)+(B8))+(B9)</f>
        <v>23453.31</v>
      </c>
      <c r="C10" s="14">
        <f t="shared" si="1"/>
        <v>23943.59</v>
      </c>
      <c r="D10" s="14">
        <f t="shared" si="1"/>
        <v>21541.9</v>
      </c>
      <c r="E10" s="14">
        <f t="shared" si="1"/>
        <v>24698.98</v>
      </c>
      <c r="F10" s="14">
        <f t="shared" si="1"/>
        <v>27975.77</v>
      </c>
      <c r="G10" s="14">
        <f t="shared" si="1"/>
        <v>21329.95</v>
      </c>
      <c r="H10" s="14">
        <f t="shared" si="1"/>
        <v>29376.68</v>
      </c>
      <c r="I10" s="14">
        <f t="shared" si="1"/>
        <v>24303.47</v>
      </c>
      <c r="J10" s="14">
        <f t="shared" si="1"/>
        <v>24807.11</v>
      </c>
      <c r="K10" s="14">
        <f t="shared" si="1"/>
        <v>30718.83</v>
      </c>
      <c r="L10" s="14">
        <f t="shared" si="1"/>
        <v>26714.09</v>
      </c>
      <c r="M10" s="14">
        <f t="shared" si="1"/>
        <v>30811.19</v>
      </c>
      <c r="N10" s="14">
        <f t="shared" si="0"/>
        <v>309674.87000000005</v>
      </c>
    </row>
    <row r="11" spans="1:14" ht="14.4" x14ac:dyDescent="0.3">
      <c r="A11" s="11" t="s">
        <v>245</v>
      </c>
      <c r="B11" s="14">
        <f t="shared" ref="B11:M11" si="2">B10</f>
        <v>23453.31</v>
      </c>
      <c r="C11" s="14">
        <f t="shared" si="2"/>
        <v>23943.59</v>
      </c>
      <c r="D11" s="14">
        <f t="shared" si="2"/>
        <v>21541.9</v>
      </c>
      <c r="E11" s="14">
        <f t="shared" si="2"/>
        <v>24698.98</v>
      </c>
      <c r="F11" s="14">
        <f t="shared" si="2"/>
        <v>27975.77</v>
      </c>
      <c r="G11" s="14">
        <f t="shared" si="2"/>
        <v>21329.95</v>
      </c>
      <c r="H11" s="14">
        <f t="shared" si="2"/>
        <v>29376.68</v>
      </c>
      <c r="I11" s="14">
        <f t="shared" si="2"/>
        <v>24303.47</v>
      </c>
      <c r="J11" s="14">
        <f t="shared" si="2"/>
        <v>24807.11</v>
      </c>
      <c r="K11" s="14">
        <f t="shared" si="2"/>
        <v>30718.83</v>
      </c>
      <c r="L11" s="14">
        <f t="shared" si="2"/>
        <v>26714.09</v>
      </c>
      <c r="M11" s="14">
        <f t="shared" si="2"/>
        <v>30811.19</v>
      </c>
      <c r="N11" s="14">
        <f t="shared" si="0"/>
        <v>309674.87000000005</v>
      </c>
    </row>
    <row r="12" spans="1:14" ht="14.4" x14ac:dyDescent="0.3">
      <c r="A12" s="11" t="s">
        <v>246</v>
      </c>
      <c r="B12" s="14">
        <f t="shared" ref="B12:M12" si="3">(B11)-(0)</f>
        <v>23453.31</v>
      </c>
      <c r="C12" s="14">
        <f t="shared" si="3"/>
        <v>23943.59</v>
      </c>
      <c r="D12" s="14">
        <f t="shared" si="3"/>
        <v>21541.9</v>
      </c>
      <c r="E12" s="14">
        <f t="shared" si="3"/>
        <v>24698.98</v>
      </c>
      <c r="F12" s="14">
        <f t="shared" si="3"/>
        <v>27975.77</v>
      </c>
      <c r="G12" s="14">
        <f t="shared" si="3"/>
        <v>21329.95</v>
      </c>
      <c r="H12" s="14">
        <f t="shared" si="3"/>
        <v>29376.68</v>
      </c>
      <c r="I12" s="14">
        <f t="shared" si="3"/>
        <v>24303.47</v>
      </c>
      <c r="J12" s="14">
        <f t="shared" si="3"/>
        <v>24807.11</v>
      </c>
      <c r="K12" s="14">
        <f t="shared" si="3"/>
        <v>30718.83</v>
      </c>
      <c r="L12" s="14">
        <f t="shared" si="3"/>
        <v>26714.09</v>
      </c>
      <c r="M12" s="14">
        <f t="shared" si="3"/>
        <v>30811.19</v>
      </c>
      <c r="N12" s="14">
        <f t="shared" si="0"/>
        <v>309674.87000000005</v>
      </c>
    </row>
    <row r="13" spans="1:14" ht="14.4" x14ac:dyDescent="0.3">
      <c r="A13" s="11" t="s">
        <v>247</v>
      </c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</row>
    <row r="14" spans="1:14" ht="14.4" x14ac:dyDescent="0.3">
      <c r="A14" s="11" t="s">
        <v>319</v>
      </c>
      <c r="B14" s="12"/>
      <c r="C14" s="13">
        <f>29.94</f>
        <v>29.94</v>
      </c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3">
        <f>(((((((((((B14)+(C14))+(D14))+(E14))+(F14))+(G14))+(H14))+(I14))+(J14))+(K14))+(L14))+(M14)</f>
        <v>29.94</v>
      </c>
    </row>
    <row r="18" spans="1:14" ht="14.4" x14ac:dyDescent="0.3">
      <c r="A18" s="11" t="s">
        <v>323</v>
      </c>
      <c r="B18" s="12"/>
      <c r="C18" s="12"/>
      <c r="D18" s="12"/>
      <c r="E18" s="13">
        <f>174.24</f>
        <v>174.24</v>
      </c>
      <c r="F18" s="12"/>
      <c r="G18" s="13">
        <f>233.13</f>
        <v>233.13</v>
      </c>
      <c r="H18" s="12"/>
      <c r="I18" s="13">
        <f>219</f>
        <v>219</v>
      </c>
      <c r="J18" s="12"/>
      <c r="K18" s="13">
        <f t="shared" ref="K18:M18" si="4">219</f>
        <v>219</v>
      </c>
      <c r="L18" s="13">
        <f t="shared" si="4"/>
        <v>219</v>
      </c>
      <c r="M18" s="13">
        <f t="shared" si="4"/>
        <v>219</v>
      </c>
      <c r="N18" s="13">
        <f t="shared" ref="N18:N22" si="5">(((((((((((B18)+(C18))+(D18))+(E18))+(F18))+(G18))+(H18))+(I18))+(J18))+(K18))+(L18))+(M18)</f>
        <v>1283.3699999999999</v>
      </c>
    </row>
    <row r="19" spans="1:14" ht="14.4" x14ac:dyDescent="0.3">
      <c r="A19" s="11" t="s">
        <v>254</v>
      </c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3">
        <f t="shared" si="5"/>
        <v>0</v>
      </c>
    </row>
    <row r="20" spans="1:14" ht="14.4" x14ac:dyDescent="0.3">
      <c r="A20" s="11" t="s">
        <v>255</v>
      </c>
      <c r="B20" s="13">
        <f>1486.11</f>
        <v>1486.11</v>
      </c>
      <c r="C20" s="13">
        <f>1504.54</f>
        <v>1504.54</v>
      </c>
      <c r="D20" s="13">
        <f>1708.86</f>
        <v>1708.86</v>
      </c>
      <c r="E20" s="13">
        <f>1488.15</f>
        <v>1488.15</v>
      </c>
      <c r="F20" s="13">
        <f>1392.88</f>
        <v>1392.88</v>
      </c>
      <c r="G20" s="13">
        <f>1449.95</f>
        <v>1449.95</v>
      </c>
      <c r="H20" s="13">
        <f>1600.77</f>
        <v>1600.77</v>
      </c>
      <c r="I20" s="13">
        <f>1854.99</f>
        <v>1854.99</v>
      </c>
      <c r="J20" s="13">
        <f>1630.32</f>
        <v>1630.32</v>
      </c>
      <c r="K20" s="13">
        <f>1723.97</f>
        <v>1723.97</v>
      </c>
      <c r="L20" s="13">
        <f>1689.93</f>
        <v>1689.93</v>
      </c>
      <c r="M20" s="13">
        <f>1711.25</f>
        <v>1711.25</v>
      </c>
      <c r="N20" s="13">
        <f t="shared" si="5"/>
        <v>19241.719999999998</v>
      </c>
    </row>
    <row r="21" spans="1:14" ht="15.75" customHeight="1" x14ac:dyDescent="0.3">
      <c r="A21" s="11" t="s">
        <v>257</v>
      </c>
      <c r="B21" s="14">
        <f t="shared" ref="B21:M21" si="6">(B19)+(B20)</f>
        <v>1486.11</v>
      </c>
      <c r="C21" s="14">
        <f t="shared" si="6"/>
        <v>1504.54</v>
      </c>
      <c r="D21" s="14">
        <f t="shared" si="6"/>
        <v>1708.86</v>
      </c>
      <c r="E21" s="14">
        <f t="shared" si="6"/>
        <v>1488.15</v>
      </c>
      <c r="F21" s="14">
        <f t="shared" si="6"/>
        <v>1392.88</v>
      </c>
      <c r="G21" s="14">
        <f t="shared" si="6"/>
        <v>1449.95</v>
      </c>
      <c r="H21" s="14">
        <f t="shared" si="6"/>
        <v>1600.77</v>
      </c>
      <c r="I21" s="14">
        <f t="shared" si="6"/>
        <v>1854.99</v>
      </c>
      <c r="J21" s="14">
        <f t="shared" si="6"/>
        <v>1630.32</v>
      </c>
      <c r="K21" s="14">
        <f t="shared" si="6"/>
        <v>1723.97</v>
      </c>
      <c r="L21" s="14">
        <f t="shared" si="6"/>
        <v>1689.93</v>
      </c>
      <c r="M21" s="14">
        <f t="shared" si="6"/>
        <v>1711.25</v>
      </c>
      <c r="N21" s="14">
        <f t="shared" si="5"/>
        <v>19241.719999999998</v>
      </c>
    </row>
    <row r="22" spans="1:14" ht="15.75" customHeight="1" x14ac:dyDescent="0.3">
      <c r="A22" s="11" t="s">
        <v>324</v>
      </c>
      <c r="B22" s="12"/>
      <c r="C22" s="12"/>
      <c r="D22" s="13">
        <f>20</f>
        <v>20</v>
      </c>
      <c r="E22" s="12"/>
      <c r="F22" s="12"/>
      <c r="G22" s="13">
        <f>1</f>
        <v>1</v>
      </c>
      <c r="H22" s="13">
        <f>-1</f>
        <v>-1</v>
      </c>
      <c r="I22" s="13">
        <f>15</f>
        <v>15</v>
      </c>
      <c r="J22" s="12"/>
      <c r="K22" s="12"/>
      <c r="L22" s="12"/>
      <c r="M22" s="12"/>
      <c r="N22" s="13">
        <f t="shared" si="5"/>
        <v>35</v>
      </c>
    </row>
    <row r="23" spans="1:14" ht="15.75" customHeight="1" x14ac:dyDescent="0.3"/>
    <row r="24" spans="1:14" ht="15.75" customHeight="1" x14ac:dyDescent="0.3"/>
    <row r="25" spans="1:14" ht="15.75" customHeight="1" x14ac:dyDescent="0.3"/>
    <row r="26" spans="1:14" ht="15.75" customHeight="1" x14ac:dyDescent="0.3">
      <c r="A26" s="11" t="s">
        <v>258</v>
      </c>
      <c r="B26" s="13">
        <f>3005.51</f>
        <v>3005.51</v>
      </c>
      <c r="C26" s="13">
        <f>3280.99</f>
        <v>3280.99</v>
      </c>
      <c r="D26" s="13">
        <f>5425.59</f>
        <v>5425.59</v>
      </c>
      <c r="E26" s="13">
        <f>2224.95</f>
        <v>2224.9499999999998</v>
      </c>
      <c r="F26" s="13">
        <f>1600.6</f>
        <v>1600.6</v>
      </c>
      <c r="G26" s="13">
        <f>878.55</f>
        <v>878.55</v>
      </c>
      <c r="H26" s="13">
        <f>1485.71</f>
        <v>1485.71</v>
      </c>
      <c r="I26" s="13">
        <f>2043.67</f>
        <v>2043.67</v>
      </c>
      <c r="J26" s="13">
        <f>4865.81</f>
        <v>4865.8100000000004</v>
      </c>
      <c r="K26" s="13">
        <f>3071.31</f>
        <v>3071.31</v>
      </c>
      <c r="L26" s="13">
        <f>4249.41</f>
        <v>4249.41</v>
      </c>
      <c r="M26" s="13">
        <f>4614.82</f>
        <v>4614.82</v>
      </c>
      <c r="N26" s="13">
        <f t="shared" ref="N26:N45" si="7">(((((((((((B26)+(C26))+(D26))+(E26))+(F26))+(G26))+(H26))+(I26))+(J26))+(K26))+(L26))+(M26)</f>
        <v>36746.92</v>
      </c>
    </row>
    <row r="27" spans="1:14" ht="15.75" customHeight="1" x14ac:dyDescent="0.3">
      <c r="A27" s="11" t="s">
        <v>260</v>
      </c>
      <c r="B27" s="13">
        <f>10.45</f>
        <v>10.45</v>
      </c>
      <c r="C27" s="12"/>
      <c r="D27" s="13">
        <f>14.17</f>
        <v>14.17</v>
      </c>
      <c r="E27" s="13">
        <f>193.64</f>
        <v>193.64</v>
      </c>
      <c r="F27" s="12"/>
      <c r="G27" s="12"/>
      <c r="H27" s="12"/>
      <c r="I27" s="13">
        <f>49.53</f>
        <v>49.53</v>
      </c>
      <c r="J27" s="12"/>
      <c r="K27" s="12"/>
      <c r="L27" s="12"/>
      <c r="M27" s="12"/>
      <c r="N27" s="13">
        <f t="shared" si="7"/>
        <v>267.78999999999996</v>
      </c>
    </row>
    <row r="28" spans="1:14" ht="15.75" customHeight="1" x14ac:dyDescent="0.3">
      <c r="A28" s="11" t="s">
        <v>325</v>
      </c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3">
        <f t="shared" si="7"/>
        <v>0</v>
      </c>
    </row>
    <row r="29" spans="1:14" ht="15.75" customHeight="1" x14ac:dyDescent="0.3">
      <c r="A29" s="11" t="s">
        <v>263</v>
      </c>
      <c r="B29" s="12"/>
      <c r="C29" s="13">
        <f>8888.69</f>
        <v>8888.69</v>
      </c>
      <c r="D29" s="13">
        <f>3555.46</f>
        <v>3555.46</v>
      </c>
      <c r="E29" s="12"/>
      <c r="F29" s="13">
        <f>3820.18</f>
        <v>3820.18</v>
      </c>
      <c r="G29" s="12"/>
      <c r="H29" s="13">
        <f>238.89</f>
        <v>238.89</v>
      </c>
      <c r="I29" s="13">
        <f>2230.66</f>
        <v>2230.66</v>
      </c>
      <c r="J29" s="13">
        <f>2458.8</f>
        <v>2458.8000000000002</v>
      </c>
      <c r="K29" s="13">
        <f>4974.14</f>
        <v>4974.1400000000003</v>
      </c>
      <c r="L29" s="12"/>
      <c r="M29" s="13">
        <f>361.24</f>
        <v>361.24</v>
      </c>
      <c r="N29" s="13">
        <f t="shared" si="7"/>
        <v>26528.06</v>
      </c>
    </row>
    <row r="30" spans="1:14" ht="15.75" customHeight="1" x14ac:dyDescent="0.3">
      <c r="A30" s="11" t="s">
        <v>264</v>
      </c>
      <c r="B30" s="13">
        <f>266.21</f>
        <v>266.20999999999998</v>
      </c>
      <c r="C30" s="13">
        <f>238.75</f>
        <v>238.75</v>
      </c>
      <c r="D30" s="13">
        <f>226</f>
        <v>226</v>
      </c>
      <c r="E30" s="13">
        <f>193.89</f>
        <v>193.89</v>
      </c>
      <c r="F30" s="13">
        <f>194.48</f>
        <v>194.48</v>
      </c>
      <c r="G30" s="13">
        <f>182.49</f>
        <v>182.49</v>
      </c>
      <c r="H30" s="13">
        <f>374.36</f>
        <v>374.36</v>
      </c>
      <c r="I30" s="12"/>
      <c r="J30" s="12"/>
      <c r="K30" s="13">
        <f>552.68</f>
        <v>552.67999999999995</v>
      </c>
      <c r="L30" s="12"/>
      <c r="M30" s="13">
        <f>210.8</f>
        <v>210.8</v>
      </c>
      <c r="N30" s="13">
        <f t="shared" si="7"/>
        <v>2439.66</v>
      </c>
    </row>
    <row r="31" spans="1:14" ht="15.75" customHeight="1" x14ac:dyDescent="0.3">
      <c r="A31" s="11" t="s">
        <v>265</v>
      </c>
      <c r="B31" s="13">
        <f>377.67</f>
        <v>377.67</v>
      </c>
      <c r="C31" s="13">
        <f>438.83</f>
        <v>438.83</v>
      </c>
      <c r="D31" s="13">
        <f>371.63</f>
        <v>371.63</v>
      </c>
      <c r="E31" s="13">
        <f>359.98</f>
        <v>359.98</v>
      </c>
      <c r="F31" s="13">
        <f>383.61</f>
        <v>383.61</v>
      </c>
      <c r="G31" s="13">
        <f>390.84</f>
        <v>390.84</v>
      </c>
      <c r="H31" s="13">
        <f>360.31</f>
        <v>360.31</v>
      </c>
      <c r="I31" s="13">
        <f>357.96</f>
        <v>357.96</v>
      </c>
      <c r="J31" s="13">
        <f>369.61</f>
        <v>369.61</v>
      </c>
      <c r="K31" s="13">
        <f>408.37</f>
        <v>408.37</v>
      </c>
      <c r="L31" s="13">
        <f>459.95</f>
        <v>459.95</v>
      </c>
      <c r="M31" s="13">
        <f>453.51</f>
        <v>453.51</v>
      </c>
      <c r="N31" s="13">
        <f t="shared" si="7"/>
        <v>4732.2700000000004</v>
      </c>
    </row>
    <row r="32" spans="1:14" ht="15.75" customHeight="1" x14ac:dyDescent="0.3">
      <c r="A32" s="11" t="s">
        <v>326</v>
      </c>
      <c r="B32" s="12"/>
      <c r="C32" s="13">
        <f>1262.15</f>
        <v>1262.1500000000001</v>
      </c>
      <c r="D32" s="13">
        <f>719.62</f>
        <v>719.62</v>
      </c>
      <c r="E32" s="13">
        <f>940.05</f>
        <v>940.05</v>
      </c>
      <c r="F32" s="12"/>
      <c r="G32" s="12"/>
      <c r="H32" s="13">
        <f>644.67</f>
        <v>644.66999999999996</v>
      </c>
      <c r="I32" s="13">
        <f>1915.08</f>
        <v>1915.08</v>
      </c>
      <c r="J32" s="13">
        <f>593.77</f>
        <v>593.77</v>
      </c>
      <c r="K32" s="13">
        <f>42.4</f>
        <v>42.4</v>
      </c>
      <c r="L32" s="13">
        <f>733.75</f>
        <v>733.75</v>
      </c>
      <c r="M32" s="13">
        <f>600.89</f>
        <v>600.89</v>
      </c>
      <c r="N32" s="13">
        <f t="shared" si="7"/>
        <v>7452.38</v>
      </c>
    </row>
    <row r="33" spans="1:14" ht="15.75" customHeight="1" x14ac:dyDescent="0.3">
      <c r="A33" s="11" t="s">
        <v>327</v>
      </c>
      <c r="B33" s="14">
        <f t="shared" ref="B33:M33" si="8">((((B28)+(B29))+(B30))+(B31))+(B32)</f>
        <v>643.88</v>
      </c>
      <c r="C33" s="14">
        <f t="shared" si="8"/>
        <v>10828.42</v>
      </c>
      <c r="D33" s="14">
        <f t="shared" si="8"/>
        <v>4872.71</v>
      </c>
      <c r="E33" s="14">
        <f t="shared" si="8"/>
        <v>1493.92</v>
      </c>
      <c r="F33" s="14">
        <f t="shared" si="8"/>
        <v>4398.2699999999995</v>
      </c>
      <c r="G33" s="14">
        <f t="shared" si="8"/>
        <v>573.32999999999993</v>
      </c>
      <c r="H33" s="14">
        <f t="shared" si="8"/>
        <v>1618.23</v>
      </c>
      <c r="I33" s="14">
        <f t="shared" si="8"/>
        <v>4503.7</v>
      </c>
      <c r="J33" s="14">
        <f t="shared" si="8"/>
        <v>3422.1800000000003</v>
      </c>
      <c r="K33" s="14">
        <f t="shared" si="8"/>
        <v>5977.59</v>
      </c>
      <c r="L33" s="14">
        <f t="shared" si="8"/>
        <v>1193.7</v>
      </c>
      <c r="M33" s="14">
        <f t="shared" si="8"/>
        <v>1626.44</v>
      </c>
      <c r="N33" s="14">
        <f t="shared" si="7"/>
        <v>41152.369999999995</v>
      </c>
    </row>
    <row r="34" spans="1:14" ht="15.75" customHeight="1" x14ac:dyDescent="0.3">
      <c r="A34" s="11" t="s">
        <v>269</v>
      </c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3">
        <f t="shared" si="7"/>
        <v>0</v>
      </c>
    </row>
    <row r="35" spans="1:14" ht="15.75" customHeight="1" x14ac:dyDescent="0.3">
      <c r="A35" s="11" t="s">
        <v>328</v>
      </c>
      <c r="B35" s="12"/>
      <c r="C35" s="12"/>
      <c r="D35" s="13">
        <f>1660</f>
        <v>1660</v>
      </c>
      <c r="E35" s="12"/>
      <c r="F35" s="12"/>
      <c r="G35" s="12"/>
      <c r="H35" s="12"/>
      <c r="I35" s="12"/>
      <c r="J35" s="12"/>
      <c r="K35" s="12"/>
      <c r="L35" s="12"/>
      <c r="M35" s="12"/>
      <c r="N35" s="13">
        <f t="shared" si="7"/>
        <v>1660</v>
      </c>
    </row>
    <row r="36" spans="1:14" ht="15.75" customHeight="1" x14ac:dyDescent="0.3">
      <c r="A36" s="11" t="s">
        <v>271</v>
      </c>
      <c r="B36" s="12"/>
      <c r="C36" s="13">
        <f>500</f>
        <v>500</v>
      </c>
      <c r="D36" s="12"/>
      <c r="E36" s="13">
        <f>910</f>
        <v>910</v>
      </c>
      <c r="F36" s="13">
        <f>420</f>
        <v>420</v>
      </c>
      <c r="G36" s="13">
        <f>1095</f>
        <v>1095</v>
      </c>
      <c r="H36" s="13">
        <f>420</f>
        <v>420</v>
      </c>
      <c r="I36" s="13">
        <f>700</f>
        <v>700</v>
      </c>
      <c r="J36" s="13">
        <f>420</f>
        <v>420</v>
      </c>
      <c r="K36" s="13">
        <f>645</f>
        <v>645</v>
      </c>
      <c r="L36" s="12"/>
      <c r="M36" s="13">
        <f>880</f>
        <v>880</v>
      </c>
      <c r="N36" s="13">
        <f t="shared" si="7"/>
        <v>5990</v>
      </c>
    </row>
    <row r="37" spans="1:14" ht="15.75" customHeight="1" x14ac:dyDescent="0.3">
      <c r="A37" s="11" t="s">
        <v>273</v>
      </c>
      <c r="B37" s="12"/>
      <c r="C37" s="13">
        <f>273.75</f>
        <v>273.75</v>
      </c>
      <c r="D37" s="12"/>
      <c r="E37" s="12"/>
      <c r="F37" s="12"/>
      <c r="G37" s="13">
        <f>273.75</f>
        <v>273.75</v>
      </c>
      <c r="H37" s="12"/>
      <c r="I37" s="12"/>
      <c r="J37" s="12"/>
      <c r="K37" s="12"/>
      <c r="L37" s="12"/>
      <c r="M37" s="13">
        <f>273.75</f>
        <v>273.75</v>
      </c>
      <c r="N37" s="13">
        <f t="shared" si="7"/>
        <v>821.25</v>
      </c>
    </row>
    <row r="38" spans="1:14" ht="15.75" customHeight="1" x14ac:dyDescent="0.3">
      <c r="A38" s="11" t="s">
        <v>274</v>
      </c>
      <c r="B38" s="14">
        <f t="shared" ref="B38:M38" si="9">(((B34)+(B35))+(B36))+(B37)</f>
        <v>0</v>
      </c>
      <c r="C38" s="14">
        <f t="shared" si="9"/>
        <v>773.75</v>
      </c>
      <c r="D38" s="14">
        <f t="shared" si="9"/>
        <v>1660</v>
      </c>
      <c r="E38" s="14">
        <f t="shared" si="9"/>
        <v>910</v>
      </c>
      <c r="F38" s="14">
        <f t="shared" si="9"/>
        <v>420</v>
      </c>
      <c r="G38" s="14">
        <f t="shared" si="9"/>
        <v>1368.75</v>
      </c>
      <c r="H38" s="14">
        <f t="shared" si="9"/>
        <v>420</v>
      </c>
      <c r="I38" s="14">
        <f t="shared" si="9"/>
        <v>700</v>
      </c>
      <c r="J38" s="14">
        <f t="shared" si="9"/>
        <v>420</v>
      </c>
      <c r="K38" s="14">
        <f t="shared" si="9"/>
        <v>645</v>
      </c>
      <c r="L38" s="14">
        <f t="shared" si="9"/>
        <v>0</v>
      </c>
      <c r="M38" s="14">
        <f t="shared" si="9"/>
        <v>1153.75</v>
      </c>
      <c r="N38" s="14">
        <f t="shared" si="7"/>
        <v>8471.25</v>
      </c>
    </row>
    <row r="39" spans="1:14" ht="15.75" customHeight="1" x14ac:dyDescent="0.3">
      <c r="A39" s="11" t="s">
        <v>329</v>
      </c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3">
        <f t="shared" si="7"/>
        <v>0</v>
      </c>
    </row>
    <row r="40" spans="1:14" ht="15.75" customHeight="1" x14ac:dyDescent="0.3">
      <c r="A40" s="11" t="s">
        <v>276</v>
      </c>
      <c r="B40" s="12"/>
      <c r="C40" s="12"/>
      <c r="D40" s="12"/>
      <c r="E40" s="12"/>
      <c r="F40" s="12"/>
      <c r="G40" s="13">
        <f>-6092.61</f>
        <v>-6092.61</v>
      </c>
      <c r="H40" s="12"/>
      <c r="I40" s="12"/>
      <c r="J40" s="12"/>
      <c r="K40" s="12"/>
      <c r="L40" s="12"/>
      <c r="M40" s="13">
        <f>16718.46</f>
        <v>16718.46</v>
      </c>
      <c r="N40" s="13">
        <f t="shared" si="7"/>
        <v>10625.849999999999</v>
      </c>
    </row>
    <row r="41" spans="1:14" ht="15.75" customHeight="1" x14ac:dyDescent="0.3">
      <c r="A41" s="11" t="s">
        <v>330</v>
      </c>
      <c r="B41" s="14">
        <f t="shared" ref="B41:M41" si="10">(B39)+(B40)</f>
        <v>0</v>
      </c>
      <c r="C41" s="14">
        <f t="shared" si="10"/>
        <v>0</v>
      </c>
      <c r="D41" s="14">
        <f t="shared" si="10"/>
        <v>0</v>
      </c>
      <c r="E41" s="14">
        <f t="shared" si="10"/>
        <v>0</v>
      </c>
      <c r="F41" s="14">
        <f t="shared" si="10"/>
        <v>0</v>
      </c>
      <c r="G41" s="14">
        <f t="shared" si="10"/>
        <v>-6092.61</v>
      </c>
      <c r="H41" s="14">
        <f t="shared" si="10"/>
        <v>0</v>
      </c>
      <c r="I41" s="14">
        <f t="shared" si="10"/>
        <v>0</v>
      </c>
      <c r="J41" s="14">
        <f t="shared" si="10"/>
        <v>0</v>
      </c>
      <c r="K41" s="14">
        <f t="shared" si="10"/>
        <v>0</v>
      </c>
      <c r="L41" s="14">
        <f t="shared" si="10"/>
        <v>0</v>
      </c>
      <c r="M41" s="14">
        <f t="shared" si="10"/>
        <v>16718.46</v>
      </c>
      <c r="N41" s="14">
        <f t="shared" si="7"/>
        <v>10625.849999999999</v>
      </c>
    </row>
    <row r="42" spans="1:14" ht="15.75" customHeight="1" x14ac:dyDescent="0.3">
      <c r="A42" s="11" t="s">
        <v>331</v>
      </c>
      <c r="B42" s="13">
        <f>767</f>
        <v>767</v>
      </c>
      <c r="C42" s="12"/>
      <c r="D42" s="12"/>
      <c r="E42" s="12"/>
      <c r="F42" s="12"/>
      <c r="G42" s="12"/>
      <c r="H42" s="12"/>
      <c r="I42" s="13">
        <f>22000</f>
        <v>22000</v>
      </c>
      <c r="J42" s="13">
        <f>65</f>
        <v>65</v>
      </c>
      <c r="K42" s="13">
        <f>1300</f>
        <v>1300</v>
      </c>
      <c r="L42" s="12"/>
      <c r="M42" s="12"/>
      <c r="N42" s="13">
        <f t="shared" si="7"/>
        <v>24132</v>
      </c>
    </row>
    <row r="43" spans="1:14" ht="15.75" customHeight="1" x14ac:dyDescent="0.3">
      <c r="A43" s="11" t="s">
        <v>332</v>
      </c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>
        <f t="shared" si="7"/>
        <v>0</v>
      </c>
    </row>
    <row r="44" spans="1:14" ht="15.75" customHeight="1" x14ac:dyDescent="0.3">
      <c r="A44" s="11" t="s">
        <v>282</v>
      </c>
      <c r="B44" s="14">
        <f t="shared" ref="B44:M44" si="11">((((((((((B14)+(B18))+(B21))+(B22))+(B26))+(B27))+(B33))+(B38))+(B41))+(B42))+(B43)</f>
        <v>5912.95</v>
      </c>
      <c r="C44" s="14">
        <f t="shared" si="11"/>
        <v>16417.64</v>
      </c>
      <c r="D44" s="14">
        <f t="shared" si="11"/>
        <v>13701.33</v>
      </c>
      <c r="E44" s="14">
        <f t="shared" si="11"/>
        <v>6484.9</v>
      </c>
      <c r="F44" s="14">
        <f t="shared" si="11"/>
        <v>7811.75</v>
      </c>
      <c r="G44" s="14">
        <f t="shared" si="11"/>
        <v>-1587.8999999999996</v>
      </c>
      <c r="H44" s="14">
        <f t="shared" si="11"/>
        <v>5123.71</v>
      </c>
      <c r="I44" s="14">
        <f t="shared" si="11"/>
        <v>31385.89</v>
      </c>
      <c r="J44" s="14">
        <f t="shared" si="11"/>
        <v>10403.310000000001</v>
      </c>
      <c r="K44" s="14">
        <f t="shared" si="11"/>
        <v>12936.869999999999</v>
      </c>
      <c r="L44" s="14">
        <f t="shared" si="11"/>
        <v>7352.04</v>
      </c>
      <c r="M44" s="14">
        <f t="shared" si="11"/>
        <v>26043.72</v>
      </c>
      <c r="N44" s="14">
        <f t="shared" si="7"/>
        <v>141986.20999999996</v>
      </c>
    </row>
    <row r="45" spans="1:14" ht="15.75" customHeight="1" x14ac:dyDescent="0.3">
      <c r="A45" s="11" t="s">
        <v>0</v>
      </c>
      <c r="B45" s="14">
        <f t="shared" ref="B45:M45" si="12">(B12)-(B44)</f>
        <v>17540.36</v>
      </c>
      <c r="C45" s="14">
        <f t="shared" si="12"/>
        <v>7525.9500000000007</v>
      </c>
      <c r="D45" s="14">
        <f t="shared" si="12"/>
        <v>7840.5700000000015</v>
      </c>
      <c r="E45" s="14">
        <f t="shared" si="12"/>
        <v>18214.080000000002</v>
      </c>
      <c r="F45" s="14">
        <f t="shared" si="12"/>
        <v>20164.02</v>
      </c>
      <c r="G45" s="14">
        <f t="shared" si="12"/>
        <v>22917.85</v>
      </c>
      <c r="H45" s="14">
        <f t="shared" si="12"/>
        <v>24252.97</v>
      </c>
      <c r="I45" s="14">
        <f t="shared" si="12"/>
        <v>-7082.4199999999983</v>
      </c>
      <c r="J45" s="14">
        <f t="shared" si="12"/>
        <v>14403.8</v>
      </c>
      <c r="K45" s="14">
        <f t="shared" si="12"/>
        <v>17781.960000000003</v>
      </c>
      <c r="L45" s="14">
        <f t="shared" si="12"/>
        <v>19362.05</v>
      </c>
      <c r="M45" s="14">
        <f t="shared" si="12"/>
        <v>4767.4699999999975</v>
      </c>
      <c r="N45" s="14">
        <f t="shared" si="7"/>
        <v>167688.66</v>
      </c>
    </row>
    <row r="46" spans="1:14" ht="15.75" customHeight="1" x14ac:dyDescent="0.3">
      <c r="A46" s="11" t="s">
        <v>333</v>
      </c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</row>
    <row r="47" spans="1:14" ht="15.75" customHeight="1" x14ac:dyDescent="0.3">
      <c r="A47" s="11" t="s">
        <v>334</v>
      </c>
      <c r="B47" s="13">
        <f>102.96</f>
        <v>102.96</v>
      </c>
      <c r="C47" s="13">
        <f>100.93</f>
        <v>100.93</v>
      </c>
      <c r="D47" s="13">
        <f>16.56</f>
        <v>16.559999999999999</v>
      </c>
      <c r="E47" s="13">
        <f>8.89</f>
        <v>8.89</v>
      </c>
      <c r="F47" s="12"/>
      <c r="G47" s="12"/>
      <c r="H47" s="12"/>
      <c r="I47" s="12"/>
      <c r="J47" s="12"/>
      <c r="K47" s="12"/>
      <c r="L47" s="12"/>
      <c r="M47" s="12"/>
      <c r="N47" s="13">
        <f t="shared" ref="N47:N50" si="13">(((((((((((B47)+(C47))+(D47))+(E47))+(F47))+(G47))+(H47))+(I47))+(J47))+(K47))+(L47))+(M47)</f>
        <v>229.33999999999997</v>
      </c>
    </row>
    <row r="48" spans="1:14" ht="15.75" customHeight="1" x14ac:dyDescent="0.3">
      <c r="A48" s="11" t="s">
        <v>335</v>
      </c>
      <c r="B48" s="14">
        <f t="shared" ref="B48:M48" si="14">B47</f>
        <v>102.96</v>
      </c>
      <c r="C48" s="14">
        <f t="shared" si="14"/>
        <v>100.93</v>
      </c>
      <c r="D48" s="14">
        <f t="shared" si="14"/>
        <v>16.559999999999999</v>
      </c>
      <c r="E48" s="14">
        <f t="shared" si="14"/>
        <v>8.89</v>
      </c>
      <c r="F48" s="14">
        <f t="shared" si="14"/>
        <v>0</v>
      </c>
      <c r="G48" s="14">
        <f t="shared" si="14"/>
        <v>0</v>
      </c>
      <c r="H48" s="14">
        <f t="shared" si="14"/>
        <v>0</v>
      </c>
      <c r="I48" s="14">
        <f t="shared" si="14"/>
        <v>0</v>
      </c>
      <c r="J48" s="14">
        <f t="shared" si="14"/>
        <v>0</v>
      </c>
      <c r="K48" s="14">
        <f t="shared" si="14"/>
        <v>0</v>
      </c>
      <c r="L48" s="14">
        <f t="shared" si="14"/>
        <v>0</v>
      </c>
      <c r="M48" s="14">
        <f t="shared" si="14"/>
        <v>0</v>
      </c>
      <c r="N48" s="14">
        <f t="shared" si="13"/>
        <v>229.33999999999997</v>
      </c>
    </row>
    <row r="49" spans="1:14" ht="15.75" customHeight="1" x14ac:dyDescent="0.3">
      <c r="A49" s="11" t="s">
        <v>316</v>
      </c>
      <c r="B49" s="14">
        <f t="shared" ref="B49:M49" si="15">(B48)-(0)</f>
        <v>102.96</v>
      </c>
      <c r="C49" s="14">
        <f t="shared" si="15"/>
        <v>100.93</v>
      </c>
      <c r="D49" s="14">
        <f t="shared" si="15"/>
        <v>16.559999999999999</v>
      </c>
      <c r="E49" s="14">
        <f t="shared" si="15"/>
        <v>8.89</v>
      </c>
      <c r="F49" s="14">
        <f t="shared" si="15"/>
        <v>0</v>
      </c>
      <c r="G49" s="14">
        <f t="shared" si="15"/>
        <v>0</v>
      </c>
      <c r="H49" s="14">
        <f t="shared" si="15"/>
        <v>0</v>
      </c>
      <c r="I49" s="14">
        <f t="shared" si="15"/>
        <v>0</v>
      </c>
      <c r="J49" s="14">
        <f t="shared" si="15"/>
        <v>0</v>
      </c>
      <c r="K49" s="14">
        <f t="shared" si="15"/>
        <v>0</v>
      </c>
      <c r="L49" s="14">
        <f t="shared" si="15"/>
        <v>0</v>
      </c>
      <c r="M49" s="14">
        <f t="shared" si="15"/>
        <v>0</v>
      </c>
      <c r="N49" s="14">
        <f t="shared" si="13"/>
        <v>229.33999999999997</v>
      </c>
    </row>
    <row r="50" spans="1:14" ht="15.75" customHeight="1" x14ac:dyDescent="0.3">
      <c r="A50" s="11" t="s">
        <v>283</v>
      </c>
      <c r="B50" s="14">
        <f t="shared" ref="B50:M50" si="16">(B45)+(B49)</f>
        <v>17643.32</v>
      </c>
      <c r="C50" s="14">
        <f t="shared" si="16"/>
        <v>7626.880000000001</v>
      </c>
      <c r="D50" s="14">
        <f t="shared" si="16"/>
        <v>7857.1300000000019</v>
      </c>
      <c r="E50" s="14">
        <f t="shared" si="16"/>
        <v>18222.97</v>
      </c>
      <c r="F50" s="14">
        <f t="shared" si="16"/>
        <v>20164.02</v>
      </c>
      <c r="G50" s="14">
        <f t="shared" si="16"/>
        <v>22917.85</v>
      </c>
      <c r="H50" s="14">
        <f t="shared" si="16"/>
        <v>24252.97</v>
      </c>
      <c r="I50" s="14">
        <f t="shared" si="16"/>
        <v>-7082.4199999999983</v>
      </c>
      <c r="J50" s="14">
        <f t="shared" si="16"/>
        <v>14403.8</v>
      </c>
      <c r="K50" s="14">
        <f t="shared" si="16"/>
        <v>17781.960000000003</v>
      </c>
      <c r="L50" s="14">
        <f t="shared" si="16"/>
        <v>19362.05</v>
      </c>
      <c r="M50" s="14">
        <f t="shared" si="16"/>
        <v>4767.4699999999975</v>
      </c>
      <c r="N50" s="14">
        <f t="shared" si="13"/>
        <v>167918</v>
      </c>
    </row>
    <row r="51" spans="1:14" ht="15.75" customHeight="1" x14ac:dyDescent="0.3">
      <c r="A51" s="11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</row>
    <row r="52" spans="1:14" ht="15.75" customHeight="1" x14ac:dyDescent="0.3"/>
    <row r="53" spans="1:14" ht="15.75" customHeight="1" x14ac:dyDescent="0.3"/>
    <row r="54" spans="1:14" ht="15.75" customHeight="1" x14ac:dyDescent="0.3">
      <c r="A54" s="23" t="s">
        <v>337</v>
      </c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</row>
    <row r="55" spans="1:14" ht="15.75" customHeight="1" x14ac:dyDescent="0.3"/>
    <row r="56" spans="1:14" ht="15.75" customHeight="1" x14ac:dyDescent="0.3"/>
    <row r="57" spans="1:14" ht="15.75" customHeight="1" x14ac:dyDescent="0.3"/>
    <row r="58" spans="1:14" ht="15.75" customHeight="1" x14ac:dyDescent="0.3"/>
    <row r="59" spans="1:14" ht="15.75" customHeight="1" x14ac:dyDescent="0.3"/>
    <row r="60" spans="1:14" ht="15.75" customHeight="1" x14ac:dyDescent="0.3"/>
    <row r="61" spans="1:14" ht="15.75" customHeight="1" x14ac:dyDescent="0.3"/>
    <row r="62" spans="1:14" ht="15.75" customHeight="1" x14ac:dyDescent="0.3"/>
    <row r="63" spans="1:14" ht="15.75" customHeight="1" x14ac:dyDescent="0.3"/>
    <row r="64" spans="1:1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mergeCells count="4">
    <mergeCell ref="A1:N1"/>
    <mergeCell ref="A2:N2"/>
    <mergeCell ref="A3:N3"/>
    <mergeCell ref="A54:N54"/>
  </mergeCells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1000"/>
  <sheetViews>
    <sheetView workbookViewId="0"/>
  </sheetViews>
  <sheetFormatPr defaultColWidth="14.44140625" defaultRowHeight="15" customHeight="1" x14ac:dyDescent="0.3"/>
  <cols>
    <col min="1" max="1" width="38.6640625" customWidth="1"/>
    <col min="2" max="8" width="9.44140625" customWidth="1"/>
    <col min="9" max="9" width="10.33203125" customWidth="1"/>
    <col min="10" max="12" width="9.44140625" customWidth="1"/>
    <col min="13" max="14" width="10.33203125" customWidth="1"/>
    <col min="15" max="26" width="8.6640625" customWidth="1"/>
  </cols>
  <sheetData>
    <row r="1" spans="1:14" ht="17.399999999999999" x14ac:dyDescent="0.3">
      <c r="A1" s="21" t="s">
        <v>318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</row>
    <row r="2" spans="1:14" ht="17.399999999999999" x14ac:dyDescent="0.3">
      <c r="A2" s="21" t="s">
        <v>221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</row>
    <row r="3" spans="1:14" ht="14.4" x14ac:dyDescent="0.3">
      <c r="A3" s="22" t="s">
        <v>292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</row>
    <row r="5" spans="1:14" ht="14.4" x14ac:dyDescent="0.3">
      <c r="A5" s="9"/>
      <c r="B5" s="10" t="s">
        <v>293</v>
      </c>
      <c r="C5" s="10" t="s">
        <v>294</v>
      </c>
      <c r="D5" s="10" t="s">
        <v>295</v>
      </c>
      <c r="E5" s="10" t="s">
        <v>296</v>
      </c>
      <c r="F5" s="10" t="s">
        <v>297</v>
      </c>
      <c r="G5" s="10" t="s">
        <v>298</v>
      </c>
      <c r="H5" s="10" t="s">
        <v>299</v>
      </c>
      <c r="I5" s="10" t="s">
        <v>300</v>
      </c>
      <c r="J5" s="10" t="s">
        <v>301</v>
      </c>
      <c r="K5" s="10" t="s">
        <v>302</v>
      </c>
      <c r="L5" s="10" t="s">
        <v>303</v>
      </c>
      <c r="M5" s="10" t="s">
        <v>304</v>
      </c>
      <c r="N5" s="10" t="s">
        <v>17</v>
      </c>
    </row>
    <row r="6" spans="1:14" ht="14.4" x14ac:dyDescent="0.3">
      <c r="A6" s="11" t="s">
        <v>236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</row>
    <row r="7" spans="1:14" ht="14.4" x14ac:dyDescent="0.3">
      <c r="A7" s="11" t="s">
        <v>237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3">
        <f t="shared" ref="N7:N11" si="0">(((((((((((B7)+(C7))+(D7))+(E7))+(F7))+(G7))+(H7))+(I7))+(J7))+(K7))+(L7))+(M7)</f>
        <v>0</v>
      </c>
    </row>
    <row r="8" spans="1:14" ht="14.4" x14ac:dyDescent="0.3">
      <c r="A8" s="11" t="s">
        <v>238</v>
      </c>
      <c r="B8" s="13">
        <f>26437.57</f>
        <v>26437.57</v>
      </c>
      <c r="C8" s="13">
        <f>28028.72</f>
        <v>28028.720000000001</v>
      </c>
      <c r="D8" s="13">
        <f>27389.09</f>
        <v>27389.09</v>
      </c>
      <c r="E8" s="13">
        <f>24449.7</f>
        <v>24449.7</v>
      </c>
      <c r="F8" s="13">
        <f>23953.51</f>
        <v>23953.51</v>
      </c>
      <c r="G8" s="13">
        <f>29005.52</f>
        <v>29005.52</v>
      </c>
      <c r="H8" s="13">
        <f>25028.4</f>
        <v>25028.400000000001</v>
      </c>
      <c r="I8" s="13">
        <f>27417.92</f>
        <v>27417.919999999998</v>
      </c>
      <c r="J8" s="13">
        <f>23267.89</f>
        <v>23267.89</v>
      </c>
      <c r="K8" s="13">
        <f>26754.13</f>
        <v>26754.13</v>
      </c>
      <c r="L8" s="13">
        <f>24336.41</f>
        <v>24336.41</v>
      </c>
      <c r="M8" s="13">
        <f>22390.16</f>
        <v>22390.16</v>
      </c>
      <c r="N8" s="13">
        <f t="shared" si="0"/>
        <v>308459.01999999996</v>
      </c>
    </row>
    <row r="9" spans="1:14" ht="14.4" x14ac:dyDescent="0.3">
      <c r="A9" s="11" t="s">
        <v>240</v>
      </c>
      <c r="B9" s="14">
        <f t="shared" ref="B9:M9" si="1">(B7)+(B8)</f>
        <v>26437.57</v>
      </c>
      <c r="C9" s="14">
        <f t="shared" si="1"/>
        <v>28028.720000000001</v>
      </c>
      <c r="D9" s="14">
        <f t="shared" si="1"/>
        <v>27389.09</v>
      </c>
      <c r="E9" s="14">
        <f t="shared" si="1"/>
        <v>24449.7</v>
      </c>
      <c r="F9" s="14">
        <f t="shared" si="1"/>
        <v>23953.51</v>
      </c>
      <c r="G9" s="14">
        <f t="shared" si="1"/>
        <v>29005.52</v>
      </c>
      <c r="H9" s="14">
        <f t="shared" si="1"/>
        <v>25028.400000000001</v>
      </c>
      <c r="I9" s="14">
        <f t="shared" si="1"/>
        <v>27417.919999999998</v>
      </c>
      <c r="J9" s="14">
        <f t="shared" si="1"/>
        <v>23267.89</v>
      </c>
      <c r="K9" s="14">
        <f t="shared" si="1"/>
        <v>26754.13</v>
      </c>
      <c r="L9" s="14">
        <f t="shared" si="1"/>
        <v>24336.41</v>
      </c>
      <c r="M9" s="14">
        <f t="shared" si="1"/>
        <v>22390.16</v>
      </c>
      <c r="N9" s="14">
        <f t="shared" si="0"/>
        <v>308459.01999999996</v>
      </c>
    </row>
    <row r="10" spans="1:14" ht="14.4" x14ac:dyDescent="0.3">
      <c r="A10" s="11" t="s">
        <v>245</v>
      </c>
      <c r="B10" s="14">
        <f t="shared" ref="B10:M10" si="2">B9</f>
        <v>26437.57</v>
      </c>
      <c r="C10" s="14">
        <f t="shared" si="2"/>
        <v>28028.720000000001</v>
      </c>
      <c r="D10" s="14">
        <f t="shared" si="2"/>
        <v>27389.09</v>
      </c>
      <c r="E10" s="14">
        <f t="shared" si="2"/>
        <v>24449.7</v>
      </c>
      <c r="F10" s="14">
        <f t="shared" si="2"/>
        <v>23953.51</v>
      </c>
      <c r="G10" s="14">
        <f t="shared" si="2"/>
        <v>29005.52</v>
      </c>
      <c r="H10" s="14">
        <f t="shared" si="2"/>
        <v>25028.400000000001</v>
      </c>
      <c r="I10" s="14">
        <f t="shared" si="2"/>
        <v>27417.919999999998</v>
      </c>
      <c r="J10" s="14">
        <f t="shared" si="2"/>
        <v>23267.89</v>
      </c>
      <c r="K10" s="14">
        <f t="shared" si="2"/>
        <v>26754.13</v>
      </c>
      <c r="L10" s="14">
        <f t="shared" si="2"/>
        <v>24336.41</v>
      </c>
      <c r="M10" s="14">
        <f t="shared" si="2"/>
        <v>22390.16</v>
      </c>
      <c r="N10" s="14">
        <f t="shared" si="0"/>
        <v>308459.01999999996</v>
      </c>
    </row>
    <row r="11" spans="1:14" ht="14.4" x14ac:dyDescent="0.3">
      <c r="A11" s="11" t="s">
        <v>246</v>
      </c>
      <c r="B11" s="14">
        <f t="shared" ref="B11:M11" si="3">(B10)-(0)</f>
        <v>26437.57</v>
      </c>
      <c r="C11" s="14">
        <f t="shared" si="3"/>
        <v>28028.720000000001</v>
      </c>
      <c r="D11" s="14">
        <f t="shared" si="3"/>
        <v>27389.09</v>
      </c>
      <c r="E11" s="14">
        <f t="shared" si="3"/>
        <v>24449.7</v>
      </c>
      <c r="F11" s="14">
        <f t="shared" si="3"/>
        <v>23953.51</v>
      </c>
      <c r="G11" s="14">
        <f t="shared" si="3"/>
        <v>29005.52</v>
      </c>
      <c r="H11" s="14">
        <f t="shared" si="3"/>
        <v>25028.400000000001</v>
      </c>
      <c r="I11" s="14">
        <f t="shared" si="3"/>
        <v>27417.919999999998</v>
      </c>
      <c r="J11" s="14">
        <f t="shared" si="3"/>
        <v>23267.89</v>
      </c>
      <c r="K11" s="14">
        <f t="shared" si="3"/>
        <v>26754.13</v>
      </c>
      <c r="L11" s="14">
        <f t="shared" si="3"/>
        <v>24336.41</v>
      </c>
      <c r="M11" s="14">
        <f t="shared" si="3"/>
        <v>22390.16</v>
      </c>
      <c r="N11" s="14">
        <f t="shared" si="0"/>
        <v>308459.01999999996</v>
      </c>
    </row>
    <row r="12" spans="1:14" ht="14.4" x14ac:dyDescent="0.3">
      <c r="A12" s="11" t="s">
        <v>247</v>
      </c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</row>
    <row r="13" spans="1:14" ht="14.4" x14ac:dyDescent="0.3">
      <c r="A13" s="11" t="s">
        <v>319</v>
      </c>
      <c r="B13" s="12"/>
      <c r="C13" s="12"/>
      <c r="D13" s="12"/>
      <c r="E13" s="12"/>
      <c r="F13" s="12"/>
      <c r="G13" s="12"/>
      <c r="H13" s="12"/>
      <c r="I13" s="13">
        <f>13.87</f>
        <v>13.87</v>
      </c>
      <c r="J13" s="12"/>
      <c r="K13" s="12"/>
      <c r="L13" s="12"/>
      <c r="M13" s="12"/>
      <c r="N13" s="13">
        <f t="shared" ref="N13:N41" si="4">(((((((((((B13)+(C13))+(D13))+(E13))+(F13))+(G13))+(H13))+(I13))+(J13))+(K13))+(L13))+(M13)</f>
        <v>13.87</v>
      </c>
    </row>
    <row r="14" spans="1:14" ht="14.4" x14ac:dyDescent="0.3">
      <c r="A14" s="11" t="s">
        <v>320</v>
      </c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3">
        <f t="shared" si="4"/>
        <v>0</v>
      </c>
    </row>
    <row r="15" spans="1:14" ht="14.4" x14ac:dyDescent="0.3">
      <c r="A15" s="11" t="s">
        <v>321</v>
      </c>
      <c r="B15" s="12"/>
      <c r="C15" s="12"/>
      <c r="D15" s="12"/>
      <c r="E15" s="12"/>
      <c r="F15" s="12"/>
      <c r="G15" s="13">
        <f>365.08</f>
        <v>365.08</v>
      </c>
      <c r="H15" s="12"/>
      <c r="I15" s="12"/>
      <c r="J15" s="12"/>
      <c r="K15" s="12"/>
      <c r="L15" s="12"/>
      <c r="M15" s="12"/>
      <c r="N15" s="13">
        <f t="shared" si="4"/>
        <v>365.08</v>
      </c>
    </row>
    <row r="16" spans="1:14" ht="14.4" x14ac:dyDescent="0.3">
      <c r="A16" s="11" t="s">
        <v>322</v>
      </c>
      <c r="B16" s="14">
        <f t="shared" ref="B16:M16" si="5">(B14)+(B15)</f>
        <v>0</v>
      </c>
      <c r="C16" s="14">
        <f t="shared" si="5"/>
        <v>0</v>
      </c>
      <c r="D16" s="14">
        <f t="shared" si="5"/>
        <v>0</v>
      </c>
      <c r="E16" s="14">
        <f t="shared" si="5"/>
        <v>0</v>
      </c>
      <c r="F16" s="14">
        <f t="shared" si="5"/>
        <v>0</v>
      </c>
      <c r="G16" s="14">
        <f t="shared" si="5"/>
        <v>365.08</v>
      </c>
      <c r="H16" s="14">
        <f t="shared" si="5"/>
        <v>0</v>
      </c>
      <c r="I16" s="14">
        <f t="shared" si="5"/>
        <v>0</v>
      </c>
      <c r="J16" s="14">
        <f t="shared" si="5"/>
        <v>0</v>
      </c>
      <c r="K16" s="14">
        <f t="shared" si="5"/>
        <v>0</v>
      </c>
      <c r="L16" s="14">
        <f t="shared" si="5"/>
        <v>0</v>
      </c>
      <c r="M16" s="14">
        <f t="shared" si="5"/>
        <v>0</v>
      </c>
      <c r="N16" s="14">
        <f t="shared" si="4"/>
        <v>365.08</v>
      </c>
    </row>
    <row r="17" spans="1:14" ht="14.4" x14ac:dyDescent="0.3">
      <c r="A17" s="11" t="s">
        <v>338</v>
      </c>
      <c r="B17" s="13">
        <f>10</f>
        <v>10</v>
      </c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3">
        <f t="shared" si="4"/>
        <v>10</v>
      </c>
    </row>
    <row r="18" spans="1:14" ht="14.4" x14ac:dyDescent="0.3">
      <c r="A18" s="11" t="s">
        <v>339</v>
      </c>
      <c r="B18" s="12"/>
      <c r="C18" s="12"/>
      <c r="D18" s="12"/>
      <c r="E18" s="12"/>
      <c r="F18" s="12"/>
      <c r="G18" s="13">
        <f>68</f>
        <v>68</v>
      </c>
      <c r="H18" s="12"/>
      <c r="I18" s="12"/>
      <c r="J18" s="12"/>
      <c r="K18" s="12"/>
      <c r="L18" s="12"/>
      <c r="M18" s="12"/>
      <c r="N18" s="13">
        <f t="shared" si="4"/>
        <v>68</v>
      </c>
    </row>
    <row r="19" spans="1:14" ht="14.4" x14ac:dyDescent="0.3">
      <c r="A19" s="11" t="s">
        <v>254</v>
      </c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3">
        <f t="shared" si="4"/>
        <v>0</v>
      </c>
    </row>
    <row r="20" spans="1:14" ht="14.4" x14ac:dyDescent="0.3">
      <c r="A20" s="11" t="s">
        <v>255</v>
      </c>
      <c r="B20" s="13">
        <f>1744.88</f>
        <v>1744.88</v>
      </c>
      <c r="C20" s="13">
        <f>1740.62</f>
        <v>1740.62</v>
      </c>
      <c r="D20" s="13">
        <f>1590.62</f>
        <v>1590.62</v>
      </c>
      <c r="E20" s="13">
        <f>1621.25</f>
        <v>1621.25</v>
      </c>
      <c r="F20" s="13">
        <f>1815.94</f>
        <v>1815.94</v>
      </c>
      <c r="G20" s="13">
        <f>1752.02</f>
        <v>1752.02</v>
      </c>
      <c r="H20" s="12"/>
      <c r="I20" s="13">
        <f>1701.47</f>
        <v>1701.47</v>
      </c>
      <c r="J20" s="13">
        <f>1761.93</f>
        <v>1761.93</v>
      </c>
      <c r="K20" s="13">
        <f>1743.69</f>
        <v>1743.69</v>
      </c>
      <c r="L20" s="13">
        <f>1722.6</f>
        <v>1722.6</v>
      </c>
      <c r="M20" s="13">
        <f>1666.19</f>
        <v>1666.19</v>
      </c>
      <c r="N20" s="13">
        <f t="shared" si="4"/>
        <v>18861.21</v>
      </c>
    </row>
    <row r="21" spans="1:14" ht="15.75" customHeight="1" x14ac:dyDescent="0.3">
      <c r="A21" s="11" t="s">
        <v>256</v>
      </c>
      <c r="B21" s="12"/>
      <c r="C21" s="13">
        <f>1500</f>
        <v>1500</v>
      </c>
      <c r="D21" s="13">
        <f>50</f>
        <v>50</v>
      </c>
      <c r="E21" s="12"/>
      <c r="F21" s="12"/>
      <c r="G21" s="13">
        <f>500</f>
        <v>500</v>
      </c>
      <c r="H21" s="12"/>
      <c r="I21" s="12"/>
      <c r="J21" s="12"/>
      <c r="K21" s="12"/>
      <c r="L21" s="12"/>
      <c r="M21" s="12"/>
      <c r="N21" s="13">
        <f t="shared" si="4"/>
        <v>2050</v>
      </c>
    </row>
    <row r="22" spans="1:14" ht="15.75" customHeight="1" x14ac:dyDescent="0.3">
      <c r="A22" s="11" t="s">
        <v>340</v>
      </c>
      <c r="B22" s="13">
        <f>2921.97</f>
        <v>2921.97</v>
      </c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3">
        <f t="shared" si="4"/>
        <v>2921.97</v>
      </c>
    </row>
    <row r="23" spans="1:14" ht="15.75" customHeight="1" x14ac:dyDescent="0.3">
      <c r="A23" s="11" t="s">
        <v>257</v>
      </c>
      <c r="B23" s="14">
        <f t="shared" ref="B23:M23" si="6">(((B19)+(B20))+(B21))+(B22)</f>
        <v>4666.8500000000004</v>
      </c>
      <c r="C23" s="14">
        <f t="shared" si="6"/>
        <v>3240.62</v>
      </c>
      <c r="D23" s="14">
        <f t="shared" si="6"/>
        <v>1640.62</v>
      </c>
      <c r="E23" s="14">
        <f t="shared" si="6"/>
        <v>1621.25</v>
      </c>
      <c r="F23" s="14">
        <f t="shared" si="6"/>
        <v>1815.94</v>
      </c>
      <c r="G23" s="14">
        <f t="shared" si="6"/>
        <v>2252.02</v>
      </c>
      <c r="H23" s="14">
        <f t="shared" si="6"/>
        <v>0</v>
      </c>
      <c r="I23" s="14">
        <f t="shared" si="6"/>
        <v>1701.47</v>
      </c>
      <c r="J23" s="14">
        <f t="shared" si="6"/>
        <v>1761.93</v>
      </c>
      <c r="K23" s="14">
        <f t="shared" si="6"/>
        <v>1743.69</v>
      </c>
      <c r="L23" s="14">
        <f t="shared" si="6"/>
        <v>1722.6</v>
      </c>
      <c r="M23" s="14">
        <f t="shared" si="6"/>
        <v>1666.19</v>
      </c>
      <c r="N23" s="14">
        <f t="shared" si="4"/>
        <v>23833.179999999997</v>
      </c>
    </row>
    <row r="24" spans="1:14" ht="15.75" customHeight="1" x14ac:dyDescent="0.3">
      <c r="A24" s="11" t="s">
        <v>324</v>
      </c>
      <c r="B24" s="13">
        <f>20</f>
        <v>20</v>
      </c>
      <c r="C24" s="12"/>
      <c r="D24" s="12"/>
      <c r="E24" s="12"/>
      <c r="F24" s="12"/>
      <c r="G24" s="13">
        <f>20</f>
        <v>20</v>
      </c>
      <c r="H24" s="12"/>
      <c r="I24" s="12"/>
      <c r="J24" s="13">
        <f t="shared" ref="J24:L24" si="7">20</f>
        <v>20</v>
      </c>
      <c r="K24" s="13">
        <f t="shared" si="7"/>
        <v>20</v>
      </c>
      <c r="L24" s="13">
        <f t="shared" si="7"/>
        <v>20</v>
      </c>
      <c r="M24" s="12"/>
      <c r="N24" s="13">
        <f t="shared" si="4"/>
        <v>100</v>
      </c>
    </row>
    <row r="25" spans="1:14" ht="15.75" customHeight="1" x14ac:dyDescent="0.3">
      <c r="A25" s="11" t="s">
        <v>258</v>
      </c>
      <c r="B25" s="13">
        <f>1574.03</f>
        <v>1574.03</v>
      </c>
      <c r="C25" s="13">
        <f>3455.84</f>
        <v>3455.84</v>
      </c>
      <c r="D25" s="13">
        <f>959.58</f>
        <v>959.58</v>
      </c>
      <c r="E25" s="13">
        <f>1017.99</f>
        <v>1017.99</v>
      </c>
      <c r="F25" s="13">
        <f>3131.34</f>
        <v>3131.34</v>
      </c>
      <c r="G25" s="13">
        <f>2636.65</f>
        <v>2636.65</v>
      </c>
      <c r="H25" s="13">
        <f>3307.82</f>
        <v>3307.82</v>
      </c>
      <c r="I25" s="13">
        <f>1980.08</f>
        <v>1980.08</v>
      </c>
      <c r="J25" s="13">
        <f>1816.5</f>
        <v>1816.5</v>
      </c>
      <c r="K25" s="13">
        <f>917.5</f>
        <v>917.5</v>
      </c>
      <c r="L25" s="13">
        <f>982.4</f>
        <v>982.4</v>
      </c>
      <c r="M25" s="13">
        <f>2419.53</f>
        <v>2419.5300000000002</v>
      </c>
      <c r="N25" s="13">
        <f t="shared" si="4"/>
        <v>24199.26</v>
      </c>
    </row>
    <row r="26" spans="1:14" ht="15.75" customHeight="1" x14ac:dyDescent="0.3">
      <c r="A26" s="11" t="s">
        <v>260</v>
      </c>
      <c r="B26" s="12"/>
      <c r="C26" s="12"/>
      <c r="D26" s="12"/>
      <c r="E26" s="12"/>
      <c r="F26" s="12"/>
      <c r="G26" s="12"/>
      <c r="H26" s="12"/>
      <c r="I26" s="12"/>
      <c r="J26" s="13">
        <f>28.66</f>
        <v>28.66</v>
      </c>
      <c r="K26" s="12"/>
      <c r="L26" s="13">
        <f>40.47</f>
        <v>40.47</v>
      </c>
      <c r="M26" s="13">
        <f>120</f>
        <v>120</v>
      </c>
      <c r="N26" s="13">
        <f t="shared" si="4"/>
        <v>189.13</v>
      </c>
    </row>
    <row r="27" spans="1:14" ht="15.75" customHeight="1" x14ac:dyDescent="0.3">
      <c r="A27" s="11" t="s">
        <v>325</v>
      </c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3">
        <f t="shared" si="4"/>
        <v>0</v>
      </c>
    </row>
    <row r="28" spans="1:14" ht="15.75" customHeight="1" x14ac:dyDescent="0.3">
      <c r="A28" s="11" t="s">
        <v>263</v>
      </c>
      <c r="B28" s="13">
        <f>4051.52</f>
        <v>4051.52</v>
      </c>
      <c r="C28" s="13">
        <f>5444.95</f>
        <v>5444.95</v>
      </c>
      <c r="D28" s="13">
        <f>8234.83</f>
        <v>8234.83</v>
      </c>
      <c r="E28" s="13">
        <f>2593.73</f>
        <v>2593.73</v>
      </c>
      <c r="F28" s="12"/>
      <c r="G28" s="13">
        <f>1652.52</f>
        <v>1652.52</v>
      </c>
      <c r="H28" s="13">
        <f>4328.01</f>
        <v>4328.01</v>
      </c>
      <c r="I28" s="13">
        <f>2527.47</f>
        <v>2527.4699999999998</v>
      </c>
      <c r="J28" s="12"/>
      <c r="K28" s="13">
        <f>4390.91</f>
        <v>4390.91</v>
      </c>
      <c r="L28" s="13">
        <f>2048.51</f>
        <v>2048.5100000000002</v>
      </c>
      <c r="M28" s="13">
        <f>2965.22</f>
        <v>2965.22</v>
      </c>
      <c r="N28" s="13">
        <f t="shared" si="4"/>
        <v>38237.670000000006</v>
      </c>
    </row>
    <row r="29" spans="1:14" ht="15.75" customHeight="1" x14ac:dyDescent="0.3">
      <c r="A29" s="11" t="s">
        <v>264</v>
      </c>
      <c r="B29" s="13">
        <f>357.12</f>
        <v>357.12</v>
      </c>
      <c r="C29" s="13">
        <f>372.82</f>
        <v>372.82</v>
      </c>
      <c r="D29" s="13">
        <f>347.64</f>
        <v>347.64</v>
      </c>
      <c r="E29" s="13">
        <f>324.3</f>
        <v>324.3</v>
      </c>
      <c r="F29" s="13">
        <f>342.71</f>
        <v>342.71</v>
      </c>
      <c r="G29" s="13">
        <f>280.12</f>
        <v>280.12</v>
      </c>
      <c r="H29" s="13">
        <f>258.09</f>
        <v>258.08999999999997</v>
      </c>
      <c r="I29" s="13">
        <f>247.72</f>
        <v>247.72</v>
      </c>
      <c r="J29" s="13">
        <f>184.74</f>
        <v>184.74</v>
      </c>
      <c r="K29" s="13">
        <f>190</f>
        <v>190</v>
      </c>
      <c r="L29" s="13">
        <f>197.33</f>
        <v>197.33</v>
      </c>
      <c r="M29" s="13">
        <f>223.94</f>
        <v>223.94</v>
      </c>
      <c r="N29" s="13">
        <f t="shared" si="4"/>
        <v>3326.53</v>
      </c>
    </row>
    <row r="30" spans="1:14" ht="15.75" customHeight="1" x14ac:dyDescent="0.3">
      <c r="A30" s="11" t="s">
        <v>265</v>
      </c>
      <c r="B30" s="13">
        <f>425.68</f>
        <v>425.68</v>
      </c>
      <c r="C30" s="13">
        <f>438.34</f>
        <v>438.34</v>
      </c>
      <c r="D30" s="13">
        <f>422.52</f>
        <v>422.52</v>
      </c>
      <c r="E30" s="13">
        <f>444.67</f>
        <v>444.67</v>
      </c>
      <c r="F30" s="13">
        <f>410.9</f>
        <v>410.9</v>
      </c>
      <c r="G30" s="13">
        <f>443.14</f>
        <v>443.14</v>
      </c>
      <c r="H30" s="13">
        <f>815.36</f>
        <v>815.36</v>
      </c>
      <c r="I30" s="12"/>
      <c r="J30" s="13">
        <f>431.63</f>
        <v>431.63</v>
      </c>
      <c r="K30" s="13">
        <f>403.53</f>
        <v>403.53</v>
      </c>
      <c r="L30" s="13">
        <f>426.1</f>
        <v>426.1</v>
      </c>
      <c r="M30" s="13">
        <f>422.88</f>
        <v>422.88</v>
      </c>
      <c r="N30" s="13">
        <f t="shared" si="4"/>
        <v>5084.7500000000009</v>
      </c>
    </row>
    <row r="31" spans="1:14" ht="15.75" customHeight="1" x14ac:dyDescent="0.3">
      <c r="A31" s="11" t="s">
        <v>326</v>
      </c>
      <c r="B31" s="13">
        <f>511.07</f>
        <v>511.07</v>
      </c>
      <c r="C31" s="13">
        <f>513.25</f>
        <v>513.25</v>
      </c>
      <c r="D31" s="13">
        <f>504.23</f>
        <v>504.23</v>
      </c>
      <c r="E31" s="12"/>
      <c r="F31" s="13">
        <f>998.43</f>
        <v>998.43</v>
      </c>
      <c r="G31" s="13">
        <f>541.99</f>
        <v>541.99</v>
      </c>
      <c r="H31" s="12"/>
      <c r="I31" s="13">
        <f>1088.9</f>
        <v>1088.9000000000001</v>
      </c>
      <c r="J31" s="12"/>
      <c r="K31" s="13">
        <f>1672.73</f>
        <v>1672.73</v>
      </c>
      <c r="L31" s="12"/>
      <c r="M31" s="13">
        <f>726.47</f>
        <v>726.47</v>
      </c>
      <c r="N31" s="13">
        <f t="shared" si="4"/>
        <v>6557.0700000000006</v>
      </c>
    </row>
    <row r="32" spans="1:14" ht="15.75" customHeight="1" x14ac:dyDescent="0.3">
      <c r="A32" s="11" t="s">
        <v>327</v>
      </c>
      <c r="B32" s="14">
        <f t="shared" ref="B32:M32" si="8">((((B27)+(B28))+(B29))+(B30))+(B31)</f>
        <v>5345.39</v>
      </c>
      <c r="C32" s="14">
        <f t="shared" si="8"/>
        <v>6769.36</v>
      </c>
      <c r="D32" s="14">
        <f t="shared" si="8"/>
        <v>9509.2199999999993</v>
      </c>
      <c r="E32" s="14">
        <f t="shared" si="8"/>
        <v>3362.7000000000003</v>
      </c>
      <c r="F32" s="14">
        <f t="shared" si="8"/>
        <v>1752.04</v>
      </c>
      <c r="G32" s="14">
        <f t="shared" si="8"/>
        <v>2917.7699999999995</v>
      </c>
      <c r="H32" s="14">
        <f t="shared" si="8"/>
        <v>5401.46</v>
      </c>
      <c r="I32" s="14">
        <f t="shared" si="8"/>
        <v>3864.0899999999997</v>
      </c>
      <c r="J32" s="14">
        <f t="shared" si="8"/>
        <v>616.37</v>
      </c>
      <c r="K32" s="14">
        <f t="shared" si="8"/>
        <v>6657.17</v>
      </c>
      <c r="L32" s="14">
        <f t="shared" si="8"/>
        <v>2671.94</v>
      </c>
      <c r="M32" s="14">
        <f t="shared" si="8"/>
        <v>4338.51</v>
      </c>
      <c r="N32" s="14">
        <f t="shared" si="4"/>
        <v>53206.020000000004</v>
      </c>
    </row>
    <row r="33" spans="1:14" ht="15.75" customHeight="1" x14ac:dyDescent="0.3">
      <c r="A33" s="11" t="s">
        <v>269</v>
      </c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3">
        <f t="shared" si="4"/>
        <v>0</v>
      </c>
    </row>
    <row r="34" spans="1:14" ht="15.75" customHeight="1" x14ac:dyDescent="0.3">
      <c r="A34" s="11" t="s">
        <v>328</v>
      </c>
      <c r="B34" s="13">
        <f>450</f>
        <v>450</v>
      </c>
      <c r="C34" s="13">
        <f>280</f>
        <v>280</v>
      </c>
      <c r="D34" s="13">
        <f>225</f>
        <v>225</v>
      </c>
      <c r="E34" s="13">
        <f>1310</f>
        <v>1310</v>
      </c>
      <c r="F34" s="12"/>
      <c r="G34" s="12"/>
      <c r="H34" s="12"/>
      <c r="I34" s="12"/>
      <c r="J34" s="12"/>
      <c r="K34" s="12"/>
      <c r="L34" s="12"/>
      <c r="M34" s="13">
        <f>985</f>
        <v>985</v>
      </c>
      <c r="N34" s="13">
        <f t="shared" si="4"/>
        <v>3250</v>
      </c>
    </row>
    <row r="35" spans="1:14" ht="15.75" customHeight="1" x14ac:dyDescent="0.3">
      <c r="A35" s="11" t="s">
        <v>271</v>
      </c>
      <c r="B35" s="12"/>
      <c r="C35" s="12"/>
      <c r="D35" s="13">
        <f>370</f>
        <v>370</v>
      </c>
      <c r="E35" s="12"/>
      <c r="F35" s="13">
        <f>1027.32</f>
        <v>1027.32</v>
      </c>
      <c r="G35" s="13">
        <f>420</f>
        <v>420</v>
      </c>
      <c r="H35" s="13">
        <f>870</f>
        <v>870</v>
      </c>
      <c r="I35" s="13">
        <f>2675</f>
        <v>2675</v>
      </c>
      <c r="J35" s="13">
        <f>280</f>
        <v>280</v>
      </c>
      <c r="K35" s="13">
        <f>1720</f>
        <v>1720</v>
      </c>
      <c r="L35" s="12"/>
      <c r="M35" s="13">
        <f>225</f>
        <v>225</v>
      </c>
      <c r="N35" s="13">
        <f t="shared" si="4"/>
        <v>7587.32</v>
      </c>
    </row>
    <row r="36" spans="1:14" ht="15.75" customHeight="1" x14ac:dyDescent="0.3">
      <c r="A36" s="11" t="s">
        <v>273</v>
      </c>
      <c r="B36" s="12"/>
      <c r="C36" s="12"/>
      <c r="D36" s="12"/>
      <c r="E36" s="12"/>
      <c r="F36" s="12"/>
      <c r="G36" s="13">
        <f>273.75</f>
        <v>273.75</v>
      </c>
      <c r="H36" s="12"/>
      <c r="I36" s="12"/>
      <c r="J36" s="12"/>
      <c r="K36" s="12"/>
      <c r="L36" s="12"/>
      <c r="M36" s="12"/>
      <c r="N36" s="13">
        <f t="shared" si="4"/>
        <v>273.75</v>
      </c>
    </row>
    <row r="37" spans="1:14" ht="15.75" customHeight="1" x14ac:dyDescent="0.3">
      <c r="A37" s="11" t="s">
        <v>274</v>
      </c>
      <c r="B37" s="14">
        <f t="shared" ref="B37:M37" si="9">(((B33)+(B34))+(B35))+(B36)</f>
        <v>450</v>
      </c>
      <c r="C37" s="14">
        <f t="shared" si="9"/>
        <v>280</v>
      </c>
      <c r="D37" s="14">
        <f t="shared" si="9"/>
        <v>595</v>
      </c>
      <c r="E37" s="14">
        <f t="shared" si="9"/>
        <v>1310</v>
      </c>
      <c r="F37" s="14">
        <f t="shared" si="9"/>
        <v>1027.32</v>
      </c>
      <c r="G37" s="14">
        <f t="shared" si="9"/>
        <v>693.75</v>
      </c>
      <c r="H37" s="14">
        <f t="shared" si="9"/>
        <v>870</v>
      </c>
      <c r="I37" s="14">
        <f t="shared" si="9"/>
        <v>2675</v>
      </c>
      <c r="J37" s="14">
        <f t="shared" si="9"/>
        <v>280</v>
      </c>
      <c r="K37" s="14">
        <f t="shared" si="9"/>
        <v>1720</v>
      </c>
      <c r="L37" s="14">
        <f t="shared" si="9"/>
        <v>0</v>
      </c>
      <c r="M37" s="14">
        <f t="shared" si="9"/>
        <v>1210</v>
      </c>
      <c r="N37" s="14">
        <f t="shared" si="4"/>
        <v>11111.07</v>
      </c>
    </row>
    <row r="38" spans="1:14" ht="15.75" customHeight="1" x14ac:dyDescent="0.3">
      <c r="A38" s="11" t="s">
        <v>329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3">
        <f t="shared" si="4"/>
        <v>0</v>
      </c>
    </row>
    <row r="39" spans="1:14" ht="15.75" customHeight="1" x14ac:dyDescent="0.3">
      <c r="A39" s="11" t="s">
        <v>276</v>
      </c>
      <c r="B39" s="12"/>
      <c r="C39" s="12"/>
      <c r="D39" s="12"/>
      <c r="E39" s="12"/>
      <c r="F39" s="12"/>
      <c r="G39" s="12"/>
      <c r="H39" s="12"/>
      <c r="I39" s="12"/>
      <c r="J39" s="13">
        <f>-4795.57</f>
        <v>-4795.57</v>
      </c>
      <c r="K39" s="12"/>
      <c r="L39" s="12"/>
      <c r="M39" s="13">
        <f>16613.13</f>
        <v>16613.13</v>
      </c>
      <c r="N39" s="13">
        <f t="shared" si="4"/>
        <v>11817.560000000001</v>
      </c>
    </row>
    <row r="40" spans="1:14" ht="15.75" customHeight="1" x14ac:dyDescent="0.3">
      <c r="A40" s="11" t="s">
        <v>330</v>
      </c>
      <c r="B40" s="14">
        <f t="shared" ref="B40:M40" si="10">(B38)+(B39)</f>
        <v>0</v>
      </c>
      <c r="C40" s="14">
        <f t="shared" si="10"/>
        <v>0</v>
      </c>
      <c r="D40" s="14">
        <f t="shared" si="10"/>
        <v>0</v>
      </c>
      <c r="E40" s="14">
        <f t="shared" si="10"/>
        <v>0</v>
      </c>
      <c r="F40" s="14">
        <f t="shared" si="10"/>
        <v>0</v>
      </c>
      <c r="G40" s="14">
        <f t="shared" si="10"/>
        <v>0</v>
      </c>
      <c r="H40" s="14">
        <f t="shared" si="10"/>
        <v>0</v>
      </c>
      <c r="I40" s="14">
        <f t="shared" si="10"/>
        <v>0</v>
      </c>
      <c r="J40" s="14">
        <f t="shared" si="10"/>
        <v>-4795.57</v>
      </c>
      <c r="K40" s="14">
        <f t="shared" si="10"/>
        <v>0</v>
      </c>
      <c r="L40" s="14">
        <f t="shared" si="10"/>
        <v>0</v>
      </c>
      <c r="M40" s="14">
        <f t="shared" si="10"/>
        <v>16613.13</v>
      </c>
      <c r="N40" s="14">
        <f t="shared" si="4"/>
        <v>11817.560000000001</v>
      </c>
    </row>
    <row r="41" spans="1:14" ht="15.75" customHeight="1" x14ac:dyDescent="0.3">
      <c r="A41" s="11" t="s">
        <v>331</v>
      </c>
      <c r="B41" s="12"/>
      <c r="C41" s="12"/>
      <c r="D41" s="12"/>
      <c r="E41" s="12"/>
      <c r="F41" s="12"/>
      <c r="G41" s="12"/>
      <c r="H41" s="12"/>
      <c r="I41" s="13">
        <f>15749</f>
        <v>15749</v>
      </c>
      <c r="J41" s="12"/>
      <c r="K41" s="12"/>
      <c r="L41" s="12"/>
      <c r="M41" s="12"/>
      <c r="N41" s="13">
        <f t="shared" si="4"/>
        <v>15749</v>
      </c>
    </row>
    <row r="42" spans="1:14" ht="15.75" customHeight="1" x14ac:dyDescent="0.3">
      <c r="A42" s="11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</row>
    <row r="43" spans="1:14" ht="15.75" customHeight="1" x14ac:dyDescent="0.3">
      <c r="A43" s="11" t="s">
        <v>282</v>
      </c>
      <c r="B43" s="14">
        <f t="shared" ref="B43:M43" si="11">((((((((((((B13)+(B16))+(B17))+(B18))+(B23))+(B24))+(B25))+(B26))+(B32))+(B37))+(B40))+(B41))+(B42)</f>
        <v>12066.27</v>
      </c>
      <c r="C43" s="14">
        <f t="shared" si="11"/>
        <v>13745.82</v>
      </c>
      <c r="D43" s="14">
        <f t="shared" si="11"/>
        <v>12704.419999999998</v>
      </c>
      <c r="E43" s="14">
        <f t="shared" si="11"/>
        <v>7311.9400000000005</v>
      </c>
      <c r="F43" s="14">
        <f t="shared" si="11"/>
        <v>7726.64</v>
      </c>
      <c r="G43" s="14">
        <f t="shared" si="11"/>
        <v>8953.27</v>
      </c>
      <c r="H43" s="14">
        <f t="shared" si="11"/>
        <v>9579.2800000000007</v>
      </c>
      <c r="I43" s="14">
        <f t="shared" si="11"/>
        <v>25983.510000000002</v>
      </c>
      <c r="J43" s="14">
        <f t="shared" si="11"/>
        <v>-272.10999999999967</v>
      </c>
      <c r="K43" s="14">
        <f t="shared" si="11"/>
        <v>11058.36</v>
      </c>
      <c r="L43" s="14">
        <f t="shared" si="11"/>
        <v>5437.41</v>
      </c>
      <c r="M43" s="14">
        <f t="shared" si="11"/>
        <v>26367.360000000001</v>
      </c>
      <c r="N43" s="14">
        <f t="shared" ref="N43:N44" si="12">(((((((((((B43)+(C43))+(D43))+(E43))+(F43))+(G43))+(H43))+(I43))+(J43))+(K43))+(L43))+(M43)</f>
        <v>140662.16999999998</v>
      </c>
    </row>
    <row r="44" spans="1:14" ht="15.75" customHeight="1" x14ac:dyDescent="0.3">
      <c r="A44" s="11" t="s">
        <v>0</v>
      </c>
      <c r="B44" s="14">
        <f t="shared" ref="B44:M44" si="13">(B11)-(B43)</f>
        <v>14371.3</v>
      </c>
      <c r="C44" s="14">
        <f t="shared" si="13"/>
        <v>14282.900000000001</v>
      </c>
      <c r="D44" s="14">
        <f t="shared" si="13"/>
        <v>14684.670000000002</v>
      </c>
      <c r="E44" s="14">
        <f t="shared" si="13"/>
        <v>17137.760000000002</v>
      </c>
      <c r="F44" s="14">
        <f t="shared" si="13"/>
        <v>16226.869999999999</v>
      </c>
      <c r="G44" s="14">
        <f t="shared" si="13"/>
        <v>20052.25</v>
      </c>
      <c r="H44" s="14">
        <f t="shared" si="13"/>
        <v>15449.12</v>
      </c>
      <c r="I44" s="14">
        <f t="shared" si="13"/>
        <v>1434.4099999999962</v>
      </c>
      <c r="J44" s="14">
        <f t="shared" si="13"/>
        <v>23540</v>
      </c>
      <c r="K44" s="14">
        <f t="shared" si="13"/>
        <v>15695.77</v>
      </c>
      <c r="L44" s="14">
        <f t="shared" si="13"/>
        <v>18899</v>
      </c>
      <c r="M44" s="14">
        <f t="shared" si="13"/>
        <v>-3977.2000000000007</v>
      </c>
      <c r="N44" s="14">
        <f t="shared" si="12"/>
        <v>167796.84999999998</v>
      </c>
    </row>
    <row r="45" spans="1:14" ht="15.75" customHeight="1" x14ac:dyDescent="0.3">
      <c r="A45" s="11" t="s">
        <v>333</v>
      </c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</row>
    <row r="46" spans="1:14" ht="15.75" customHeight="1" x14ac:dyDescent="0.3">
      <c r="A46" s="11" t="s">
        <v>334</v>
      </c>
      <c r="B46" s="13">
        <f>38.39</f>
        <v>38.39</v>
      </c>
      <c r="C46" s="13">
        <f>41.1</f>
        <v>41.1</v>
      </c>
      <c r="D46" s="13">
        <f>50.9</f>
        <v>50.9</v>
      </c>
      <c r="E46" s="13">
        <f>72.95</f>
        <v>72.95</v>
      </c>
      <c r="F46" s="13">
        <f>86.87</f>
        <v>86.87</v>
      </c>
      <c r="G46" s="13">
        <f>54.55</f>
        <v>54.55</v>
      </c>
      <c r="H46" s="13">
        <f>72.19</f>
        <v>72.19</v>
      </c>
      <c r="I46" s="13">
        <f>66.63</f>
        <v>66.63</v>
      </c>
      <c r="J46" s="13">
        <f>52.68</f>
        <v>52.68</v>
      </c>
      <c r="K46" s="13">
        <f>52.45</f>
        <v>52.45</v>
      </c>
      <c r="L46" s="13">
        <f>58.19</f>
        <v>58.19</v>
      </c>
      <c r="M46" s="13">
        <f>78.4</f>
        <v>78.400000000000006</v>
      </c>
      <c r="N46" s="13">
        <f t="shared" ref="N46:N49" si="14">(((((((((((B46)+(C46))+(D46))+(E46))+(F46))+(G46))+(H46))+(I46))+(J46))+(K46))+(L46))+(M46)</f>
        <v>725.30000000000007</v>
      </c>
    </row>
    <row r="47" spans="1:14" ht="15.75" customHeight="1" x14ac:dyDescent="0.3">
      <c r="A47" s="11" t="s">
        <v>335</v>
      </c>
      <c r="B47" s="14">
        <f t="shared" ref="B47:M47" si="15">B46</f>
        <v>38.39</v>
      </c>
      <c r="C47" s="14">
        <f t="shared" si="15"/>
        <v>41.1</v>
      </c>
      <c r="D47" s="14">
        <f t="shared" si="15"/>
        <v>50.9</v>
      </c>
      <c r="E47" s="14">
        <f t="shared" si="15"/>
        <v>72.95</v>
      </c>
      <c r="F47" s="14">
        <f t="shared" si="15"/>
        <v>86.87</v>
      </c>
      <c r="G47" s="14">
        <f t="shared" si="15"/>
        <v>54.55</v>
      </c>
      <c r="H47" s="14">
        <f t="shared" si="15"/>
        <v>72.19</v>
      </c>
      <c r="I47" s="14">
        <f t="shared" si="15"/>
        <v>66.63</v>
      </c>
      <c r="J47" s="14">
        <f t="shared" si="15"/>
        <v>52.68</v>
      </c>
      <c r="K47" s="14">
        <f t="shared" si="15"/>
        <v>52.45</v>
      </c>
      <c r="L47" s="14">
        <f t="shared" si="15"/>
        <v>58.19</v>
      </c>
      <c r="M47" s="14">
        <f t="shared" si="15"/>
        <v>78.400000000000006</v>
      </c>
      <c r="N47" s="14">
        <f t="shared" si="14"/>
        <v>725.30000000000007</v>
      </c>
    </row>
    <row r="48" spans="1:14" ht="15.75" customHeight="1" x14ac:dyDescent="0.3">
      <c r="A48" s="11" t="s">
        <v>316</v>
      </c>
      <c r="B48" s="14">
        <f t="shared" ref="B48:M48" si="16">(B47)-(0)</f>
        <v>38.39</v>
      </c>
      <c r="C48" s="14">
        <f t="shared" si="16"/>
        <v>41.1</v>
      </c>
      <c r="D48" s="14">
        <f t="shared" si="16"/>
        <v>50.9</v>
      </c>
      <c r="E48" s="14">
        <f t="shared" si="16"/>
        <v>72.95</v>
      </c>
      <c r="F48" s="14">
        <f t="shared" si="16"/>
        <v>86.87</v>
      </c>
      <c r="G48" s="14">
        <f t="shared" si="16"/>
        <v>54.55</v>
      </c>
      <c r="H48" s="14">
        <f t="shared" si="16"/>
        <v>72.19</v>
      </c>
      <c r="I48" s="14">
        <f t="shared" si="16"/>
        <v>66.63</v>
      </c>
      <c r="J48" s="14">
        <f t="shared" si="16"/>
        <v>52.68</v>
      </c>
      <c r="K48" s="14">
        <f t="shared" si="16"/>
        <v>52.45</v>
      </c>
      <c r="L48" s="14">
        <f t="shared" si="16"/>
        <v>58.19</v>
      </c>
      <c r="M48" s="14">
        <f t="shared" si="16"/>
        <v>78.400000000000006</v>
      </c>
      <c r="N48" s="14">
        <f t="shared" si="14"/>
        <v>725.30000000000007</v>
      </c>
    </row>
    <row r="49" spans="1:14" ht="15.75" customHeight="1" x14ac:dyDescent="0.3">
      <c r="A49" s="11" t="s">
        <v>283</v>
      </c>
      <c r="B49" s="14">
        <f t="shared" ref="B49:M49" si="17">(B44)+(B48)</f>
        <v>14409.689999999999</v>
      </c>
      <c r="C49" s="14">
        <f t="shared" si="17"/>
        <v>14324.000000000002</v>
      </c>
      <c r="D49" s="14">
        <f t="shared" si="17"/>
        <v>14735.570000000002</v>
      </c>
      <c r="E49" s="14">
        <f t="shared" si="17"/>
        <v>17210.710000000003</v>
      </c>
      <c r="F49" s="14">
        <f t="shared" si="17"/>
        <v>16313.74</v>
      </c>
      <c r="G49" s="14">
        <f t="shared" si="17"/>
        <v>20106.8</v>
      </c>
      <c r="H49" s="14">
        <f t="shared" si="17"/>
        <v>15521.310000000001</v>
      </c>
      <c r="I49" s="14">
        <f t="shared" si="17"/>
        <v>1501.0399999999963</v>
      </c>
      <c r="J49" s="14">
        <f t="shared" si="17"/>
        <v>23592.68</v>
      </c>
      <c r="K49" s="14">
        <f t="shared" si="17"/>
        <v>15748.220000000001</v>
      </c>
      <c r="L49" s="14">
        <f t="shared" si="17"/>
        <v>18957.189999999999</v>
      </c>
      <c r="M49" s="14">
        <f t="shared" si="17"/>
        <v>-3898.8000000000006</v>
      </c>
      <c r="N49" s="14">
        <f t="shared" si="14"/>
        <v>168522.15000000002</v>
      </c>
    </row>
    <row r="50" spans="1:14" ht="15.75" customHeight="1" x14ac:dyDescent="0.3">
      <c r="A50" s="11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</row>
    <row r="51" spans="1:14" ht="15.75" customHeight="1" x14ac:dyDescent="0.3"/>
    <row r="52" spans="1:14" ht="15.75" customHeight="1" x14ac:dyDescent="0.3"/>
    <row r="53" spans="1:14" ht="15.75" customHeight="1" x14ac:dyDescent="0.3">
      <c r="A53" s="23" t="s">
        <v>341</v>
      </c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</row>
    <row r="54" spans="1:14" ht="15.75" customHeight="1" x14ac:dyDescent="0.3"/>
    <row r="55" spans="1:14" ht="15.75" customHeight="1" x14ac:dyDescent="0.3"/>
    <row r="56" spans="1:14" ht="15.75" customHeight="1" x14ac:dyDescent="0.3"/>
    <row r="57" spans="1:14" ht="15.75" customHeight="1" x14ac:dyDescent="0.3"/>
    <row r="58" spans="1:14" ht="15.75" customHeight="1" x14ac:dyDescent="0.3"/>
    <row r="59" spans="1:14" ht="15.75" customHeight="1" x14ac:dyDescent="0.3"/>
    <row r="60" spans="1:14" ht="15.75" customHeight="1" x14ac:dyDescent="0.3"/>
    <row r="61" spans="1:14" ht="15.75" customHeight="1" x14ac:dyDescent="0.3"/>
    <row r="62" spans="1:14" ht="15.75" customHeight="1" x14ac:dyDescent="0.3"/>
    <row r="63" spans="1:14" ht="15.75" customHeight="1" x14ac:dyDescent="0.3"/>
    <row r="64" spans="1:1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mergeCells count="4">
    <mergeCell ref="A1:N1"/>
    <mergeCell ref="A2:N2"/>
    <mergeCell ref="A3:N3"/>
    <mergeCell ref="A53:N53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2025Q1 Rent Roll</vt:lpstr>
      <vt:lpstr>2024EoY Rent Roll</vt:lpstr>
      <vt:lpstr>Broadway 2025 Q1 T12 Profit and</vt:lpstr>
      <vt:lpstr>Broadway 2024 Profit and Loss</vt:lpstr>
      <vt:lpstr>Broadway 2023 Profit and Loss</vt:lpstr>
      <vt:lpstr>Ben Day 2025 Q1 T12 Profit and </vt:lpstr>
      <vt:lpstr>Ben Day 2024 Profit and Loss</vt:lpstr>
      <vt:lpstr>Ben Day 2023 Profit and Loss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Leitmayr, Nicklaus</cp:lastModifiedBy>
  <dcterms:created xsi:type="dcterms:W3CDTF">2025-04-09T15:06:49Z</dcterms:created>
  <dcterms:modified xsi:type="dcterms:W3CDTF">2025-04-09T15:06:50Z</dcterms:modified>
</cp:coreProperties>
</file>