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IL\CIL Ventures\Organization\Equity Partners (possible)\Data Room\Uploaded 2024-5-16\"/>
    </mc:Choice>
  </mc:AlternateContent>
  <xr:revisionPtr revIDLastSave="0" documentId="8_{8D749F51-38C6-4A7E-82FE-A85C3780C55A}" xr6:coauthVersionLast="47" xr6:coauthVersionMax="47" xr10:uidLastSave="{00000000-0000-0000-0000-000000000000}"/>
  <bookViews>
    <workbookView xWindow="-120" yWindow="-120" windowWidth="25440" windowHeight="15390" tabRatio="846" firstSheet="1" activeTab="1" xr2:uid="{C5C3D50D-B5F7-4069-B0FF-57671BE6A3DA}"/>
  </bookViews>
  <sheets>
    <sheet name="Input" sheetId="4" state="hidden" r:id="rId1"/>
    <sheet name="FSS Phase 1 P&amp;L" sheetId="7" r:id="rId2"/>
    <sheet name="FSS Phase 1 Assumptions" sheetId="26" r:id="rId3"/>
    <sheet name="FSS 805 P&amp;L" sheetId="37" r:id="rId4"/>
    <sheet name="FSS 805 Assumptions" sheetId="38" r:id="rId5"/>
    <sheet name="CIL Mgmt P&amp;L" sheetId="42" r:id="rId6"/>
    <sheet name="CIL Mgmt Assumptions" sheetId="43" r:id="rId7"/>
    <sheet name="Headcount" sheetId="44" r:id="rId8"/>
    <sheet name="Forecast" sheetId="21" state="hidden" r:id="rId9"/>
    <sheet name="Checklist - CIP" sheetId="15" state="hidden" r:id="rId10"/>
    <sheet name="Mas 90 Upload Instructions" sheetId="22" state="hidden" r:id="rId11"/>
  </sheets>
  <definedNames>
    <definedName name="_xlnm.Print_Titles" localSheetId="6">'CIL Mgmt Assumptions'!$A:$A</definedName>
    <definedName name="_xlnm.Print_Titles" localSheetId="5">'CIL Mgmt P&amp;L'!$A:$A,'CIL Mgmt P&amp;L'!$1:$5</definedName>
    <definedName name="_xlnm.Print_Titles" localSheetId="8">Forecast!$A:$A</definedName>
    <definedName name="_xlnm.Print_Titles" localSheetId="4">'FSS 805 Assumptions'!$A:$A</definedName>
    <definedName name="_xlnm.Print_Titles" localSheetId="3">'FSS 805 P&amp;L'!$A:$A,'FSS 805 P&amp;L'!$1:$5</definedName>
    <definedName name="_xlnm.Print_Titles" localSheetId="2">'FSS Phase 1 Assumptions'!$A:$A</definedName>
    <definedName name="_xlnm.Print_Titles" localSheetId="1">'FSS Phase 1 P&amp;L'!$A:$A,'FSS Phase 1 P&amp;L'!$1:$5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30" i="7" l="1"/>
  <c r="AD130" i="7" s="1"/>
  <c r="AB130" i="7"/>
  <c r="P130" i="7"/>
  <c r="Q130" i="7"/>
  <c r="R130" i="7"/>
  <c r="S130" i="7"/>
  <c r="T130" i="7"/>
  <c r="U130" i="7"/>
  <c r="V130" i="7"/>
  <c r="W130" i="7"/>
  <c r="X130" i="7"/>
  <c r="Y130" i="7"/>
  <c r="Z130" i="7"/>
  <c r="O130" i="7"/>
  <c r="C130" i="7"/>
  <c r="D130" i="7"/>
  <c r="E130" i="7"/>
  <c r="F130" i="7"/>
  <c r="G130" i="7"/>
  <c r="H130" i="7"/>
  <c r="I130" i="7"/>
  <c r="J130" i="7"/>
  <c r="K130" i="7"/>
  <c r="L130" i="7"/>
  <c r="M130" i="7"/>
  <c r="B130" i="7"/>
  <c r="B109" i="26"/>
  <c r="D11" i="38"/>
  <c r="D10" i="38"/>
  <c r="O129" i="7" l="1"/>
  <c r="B106" i="26"/>
  <c r="P67" i="7" l="1"/>
  <c r="Q67" i="7"/>
  <c r="Z67" i="7"/>
  <c r="X69" i="7"/>
  <c r="Y69" i="7"/>
  <c r="Z69" i="7"/>
  <c r="P70" i="7"/>
  <c r="Y70" i="7"/>
  <c r="Q71" i="7"/>
  <c r="R71" i="7"/>
  <c r="S71" i="7"/>
  <c r="T71" i="7"/>
  <c r="U71" i="7"/>
  <c r="C67" i="7"/>
  <c r="D67" i="7"/>
  <c r="E67" i="7"/>
  <c r="F67" i="7"/>
  <c r="G67" i="7"/>
  <c r="H67" i="7"/>
  <c r="I67" i="7"/>
  <c r="J67" i="7"/>
  <c r="K67" i="7"/>
  <c r="L67" i="7"/>
  <c r="M67" i="7"/>
  <c r="R67" i="7" s="1"/>
  <c r="C68" i="7"/>
  <c r="D68" i="7"/>
  <c r="E68" i="7"/>
  <c r="F68" i="7"/>
  <c r="G68" i="7"/>
  <c r="H68" i="7"/>
  <c r="I68" i="7"/>
  <c r="J68" i="7"/>
  <c r="K68" i="7"/>
  <c r="L68" i="7"/>
  <c r="M68" i="7"/>
  <c r="W68" i="7" s="1"/>
  <c r="C69" i="7"/>
  <c r="D69" i="7"/>
  <c r="E69" i="7"/>
  <c r="F69" i="7"/>
  <c r="G69" i="7"/>
  <c r="H69" i="7"/>
  <c r="I69" i="7"/>
  <c r="J69" i="7"/>
  <c r="K69" i="7"/>
  <c r="L69" i="7"/>
  <c r="M69" i="7"/>
  <c r="O69" i="7" s="1"/>
  <c r="C70" i="7"/>
  <c r="D70" i="7"/>
  <c r="E70" i="7"/>
  <c r="F70" i="7"/>
  <c r="G70" i="7"/>
  <c r="H70" i="7"/>
  <c r="I70" i="7"/>
  <c r="J70" i="7"/>
  <c r="K70" i="7"/>
  <c r="L70" i="7"/>
  <c r="M70" i="7"/>
  <c r="Q70" i="7" s="1"/>
  <c r="C71" i="7"/>
  <c r="D71" i="7"/>
  <c r="E71" i="7"/>
  <c r="F71" i="7"/>
  <c r="G71" i="7"/>
  <c r="H71" i="7"/>
  <c r="I71" i="7"/>
  <c r="J71" i="7"/>
  <c r="K71" i="7"/>
  <c r="L71" i="7"/>
  <c r="M71" i="7"/>
  <c r="V71" i="7" s="1"/>
  <c r="C72" i="7"/>
  <c r="D72" i="7"/>
  <c r="E72" i="7"/>
  <c r="F72" i="7"/>
  <c r="G72" i="7"/>
  <c r="H72" i="7"/>
  <c r="I72" i="7"/>
  <c r="J72" i="7"/>
  <c r="K72" i="7"/>
  <c r="L72" i="7"/>
  <c r="N72" i="7" s="1"/>
  <c r="M72" i="7"/>
  <c r="S72" i="7" s="1"/>
  <c r="B68" i="7"/>
  <c r="N68" i="7" s="1"/>
  <c r="B69" i="7"/>
  <c r="N69" i="7" s="1"/>
  <c r="B70" i="7"/>
  <c r="N70" i="7" s="1"/>
  <c r="B71" i="7"/>
  <c r="B72" i="7"/>
  <c r="B67" i="7"/>
  <c r="B57" i="26"/>
  <c r="B56" i="26"/>
  <c r="B53" i="26"/>
  <c r="B55" i="26"/>
  <c r="B54" i="26"/>
  <c r="B58" i="26"/>
  <c r="Y72" i="7" l="1"/>
  <c r="X72" i="7"/>
  <c r="W69" i="7"/>
  <c r="Z72" i="7"/>
  <c r="W72" i="7"/>
  <c r="P71" i="7"/>
  <c r="N71" i="7"/>
  <c r="Z70" i="7"/>
  <c r="U68" i="7"/>
  <c r="Q68" i="7"/>
  <c r="U69" i="7"/>
  <c r="P68" i="7"/>
  <c r="S68" i="7"/>
  <c r="V69" i="7"/>
  <c r="T69" i="7"/>
  <c r="U72" i="7"/>
  <c r="R72" i="7"/>
  <c r="X70" i="7"/>
  <c r="S69" i="7"/>
  <c r="Y67" i="7"/>
  <c r="Q72" i="7"/>
  <c r="W70" i="7"/>
  <c r="R69" i="7"/>
  <c r="X67" i="7"/>
  <c r="V68" i="7"/>
  <c r="T72" i="7"/>
  <c r="P72" i="7"/>
  <c r="V70" i="7"/>
  <c r="Q69" i="7"/>
  <c r="W67" i="7"/>
  <c r="O72" i="7"/>
  <c r="Z71" i="7"/>
  <c r="U70" i="7"/>
  <c r="P69" i="7"/>
  <c r="V67" i="7"/>
  <c r="O71" i="7"/>
  <c r="Y71" i="7"/>
  <c r="T70" i="7"/>
  <c r="Z68" i="7"/>
  <c r="U67" i="7"/>
  <c r="V72" i="7"/>
  <c r="O70" i="7"/>
  <c r="X71" i="7"/>
  <c r="S70" i="7"/>
  <c r="Y68" i="7"/>
  <c r="T67" i="7"/>
  <c r="W71" i="7"/>
  <c r="R70" i="7"/>
  <c r="X68" i="7"/>
  <c r="S67" i="7"/>
  <c r="T68" i="7"/>
  <c r="R68" i="7"/>
  <c r="O68" i="7"/>
  <c r="BB73" i="37"/>
  <c r="BB74" i="37"/>
  <c r="BB75" i="37"/>
  <c r="BB76" i="37"/>
  <c r="BB77" i="37"/>
  <c r="BA73" i="37"/>
  <c r="BA74" i="37"/>
  <c r="BA75" i="37"/>
  <c r="BA76" i="37"/>
  <c r="BA77" i="37"/>
  <c r="AP72" i="37"/>
  <c r="AQ72" i="37"/>
  <c r="AR72" i="37"/>
  <c r="AS72" i="37"/>
  <c r="AT72" i="37"/>
  <c r="AU72" i="37"/>
  <c r="AV72" i="37"/>
  <c r="AW72" i="37"/>
  <c r="AX72" i="37"/>
  <c r="AY72" i="37"/>
  <c r="AZ72" i="37"/>
  <c r="AP73" i="37"/>
  <c r="AQ73" i="37"/>
  <c r="AR73" i="37"/>
  <c r="AS73" i="37"/>
  <c r="AT73" i="37"/>
  <c r="AU73" i="37"/>
  <c r="AV73" i="37"/>
  <c r="AW73" i="37"/>
  <c r="AX73" i="37"/>
  <c r="AY73" i="37"/>
  <c r="AZ73" i="37"/>
  <c r="AP74" i="37"/>
  <c r="AQ74" i="37"/>
  <c r="AR74" i="37"/>
  <c r="AS74" i="37"/>
  <c r="AT74" i="37"/>
  <c r="AU74" i="37"/>
  <c r="AV74" i="37"/>
  <c r="AW74" i="37"/>
  <c r="AX74" i="37"/>
  <c r="AY74" i="37"/>
  <c r="AZ74" i="37"/>
  <c r="AP75" i="37"/>
  <c r="AQ75" i="37"/>
  <c r="AR75" i="37"/>
  <c r="AS75" i="37"/>
  <c r="AT75" i="37"/>
  <c r="AU75" i="37"/>
  <c r="AV75" i="37"/>
  <c r="AW75" i="37"/>
  <c r="AX75" i="37"/>
  <c r="AY75" i="37"/>
  <c r="AZ75" i="37"/>
  <c r="AP76" i="37"/>
  <c r="AQ76" i="37"/>
  <c r="AR76" i="37"/>
  <c r="AS76" i="37"/>
  <c r="AT76" i="37"/>
  <c r="AU76" i="37"/>
  <c r="AV76" i="37"/>
  <c r="AW76" i="37"/>
  <c r="AX76" i="37"/>
  <c r="AY76" i="37"/>
  <c r="AZ76" i="37"/>
  <c r="AP77" i="37"/>
  <c r="AQ77" i="37"/>
  <c r="AR77" i="37"/>
  <c r="AS77" i="37"/>
  <c r="AT77" i="37"/>
  <c r="AU77" i="37"/>
  <c r="AV77" i="37"/>
  <c r="AW77" i="37"/>
  <c r="AX77" i="37"/>
  <c r="AY77" i="37"/>
  <c r="AZ77" i="37"/>
  <c r="AO73" i="37"/>
  <c r="AO74" i="37"/>
  <c r="AO75" i="37"/>
  <c r="AO76" i="37"/>
  <c r="AO77" i="37"/>
  <c r="AN73" i="37"/>
  <c r="AN74" i="37"/>
  <c r="AN75" i="37"/>
  <c r="AN76" i="37"/>
  <c r="AN77" i="37"/>
  <c r="AC72" i="37"/>
  <c r="AD72" i="37"/>
  <c r="AE72" i="37"/>
  <c r="AF72" i="37"/>
  <c r="AG72" i="37"/>
  <c r="AH72" i="37"/>
  <c r="AI72" i="37"/>
  <c r="AJ72" i="37"/>
  <c r="AK72" i="37"/>
  <c r="AL72" i="37"/>
  <c r="AM72" i="37"/>
  <c r="AC73" i="37"/>
  <c r="AD73" i="37"/>
  <c r="AE73" i="37"/>
  <c r="AF73" i="37"/>
  <c r="AG73" i="37"/>
  <c r="AH73" i="37"/>
  <c r="AI73" i="37"/>
  <c r="AJ73" i="37"/>
  <c r="AK73" i="37"/>
  <c r="AL73" i="37"/>
  <c r="AM73" i="37"/>
  <c r="AC74" i="37"/>
  <c r="AD74" i="37"/>
  <c r="AE74" i="37"/>
  <c r="AF74" i="37"/>
  <c r="AG74" i="37"/>
  <c r="AH74" i="37"/>
  <c r="AI74" i="37"/>
  <c r="AJ74" i="37"/>
  <c r="AK74" i="37"/>
  <c r="AL74" i="37"/>
  <c r="AM74" i="37"/>
  <c r="AC75" i="37"/>
  <c r="AD75" i="37"/>
  <c r="AE75" i="37"/>
  <c r="AF75" i="37"/>
  <c r="AG75" i="37"/>
  <c r="AH75" i="37"/>
  <c r="AI75" i="37"/>
  <c r="AJ75" i="37"/>
  <c r="AK75" i="37"/>
  <c r="AL75" i="37"/>
  <c r="AM75" i="37"/>
  <c r="AC76" i="37"/>
  <c r="AD76" i="37"/>
  <c r="AE76" i="37"/>
  <c r="AF76" i="37"/>
  <c r="AG76" i="37"/>
  <c r="AH76" i="37"/>
  <c r="AI76" i="37"/>
  <c r="AJ76" i="37"/>
  <c r="AK76" i="37"/>
  <c r="AL76" i="37"/>
  <c r="AM76" i="37"/>
  <c r="AC77" i="37"/>
  <c r="AD77" i="37"/>
  <c r="AE77" i="37"/>
  <c r="AF77" i="37"/>
  <c r="AG77" i="37"/>
  <c r="AH77" i="37"/>
  <c r="AI77" i="37"/>
  <c r="AJ77" i="37"/>
  <c r="AK77" i="37"/>
  <c r="AL77" i="37"/>
  <c r="AM77" i="37"/>
  <c r="AB73" i="37"/>
  <c r="AB74" i="37"/>
  <c r="AB75" i="37"/>
  <c r="AB76" i="37"/>
  <c r="AB77" i="37"/>
  <c r="AA73" i="37"/>
  <c r="AA74" i="37"/>
  <c r="AA75" i="37"/>
  <c r="AA76" i="37"/>
  <c r="AA77" i="37"/>
  <c r="P72" i="37"/>
  <c r="Q72" i="37"/>
  <c r="R72" i="37"/>
  <c r="S72" i="37"/>
  <c r="T72" i="37"/>
  <c r="U72" i="37"/>
  <c r="V72" i="37"/>
  <c r="W72" i="37"/>
  <c r="X72" i="37"/>
  <c r="Y72" i="37"/>
  <c r="Z72" i="37"/>
  <c r="P73" i="37"/>
  <c r="Q73" i="37"/>
  <c r="R73" i="37"/>
  <c r="S73" i="37"/>
  <c r="T73" i="37"/>
  <c r="U73" i="37"/>
  <c r="V73" i="37"/>
  <c r="W73" i="37"/>
  <c r="X73" i="37"/>
  <c r="Y73" i="37"/>
  <c r="Z73" i="37"/>
  <c r="P74" i="37"/>
  <c r="Q74" i="37"/>
  <c r="R74" i="37"/>
  <c r="S74" i="37"/>
  <c r="T74" i="37"/>
  <c r="U74" i="37"/>
  <c r="V74" i="37"/>
  <c r="W74" i="37"/>
  <c r="X74" i="37"/>
  <c r="Y74" i="37"/>
  <c r="Z74" i="37"/>
  <c r="P75" i="37"/>
  <c r="Q75" i="37"/>
  <c r="R75" i="37"/>
  <c r="S75" i="37"/>
  <c r="T75" i="37"/>
  <c r="U75" i="37"/>
  <c r="V75" i="37"/>
  <c r="W75" i="37"/>
  <c r="X75" i="37"/>
  <c r="Y75" i="37"/>
  <c r="Z75" i="37"/>
  <c r="P76" i="37"/>
  <c r="Q76" i="37"/>
  <c r="R76" i="37"/>
  <c r="S76" i="37"/>
  <c r="T76" i="37"/>
  <c r="U76" i="37"/>
  <c r="V76" i="37"/>
  <c r="W76" i="37"/>
  <c r="X76" i="37"/>
  <c r="Y76" i="37"/>
  <c r="Z76" i="37"/>
  <c r="P77" i="37"/>
  <c r="Q77" i="37"/>
  <c r="R77" i="37"/>
  <c r="S77" i="37"/>
  <c r="T77" i="37"/>
  <c r="U77" i="37"/>
  <c r="V77" i="37"/>
  <c r="W77" i="37"/>
  <c r="X77" i="37"/>
  <c r="Y77" i="37"/>
  <c r="Z77" i="37"/>
  <c r="O73" i="37"/>
  <c r="O74" i="37"/>
  <c r="O75" i="37"/>
  <c r="O76" i="37"/>
  <c r="O77" i="37"/>
  <c r="N73" i="37"/>
  <c r="N74" i="37"/>
  <c r="N75" i="37"/>
  <c r="N76" i="37"/>
  <c r="N77" i="37"/>
  <c r="C72" i="37"/>
  <c r="D72" i="37"/>
  <c r="E72" i="37"/>
  <c r="F72" i="37"/>
  <c r="G72" i="37"/>
  <c r="H72" i="37"/>
  <c r="I72" i="37"/>
  <c r="J72" i="37"/>
  <c r="K72" i="37"/>
  <c r="L72" i="37"/>
  <c r="M72" i="37"/>
  <c r="C73" i="37"/>
  <c r="D73" i="37"/>
  <c r="E73" i="37"/>
  <c r="F73" i="37"/>
  <c r="G73" i="37"/>
  <c r="H73" i="37"/>
  <c r="I73" i="37"/>
  <c r="J73" i="37"/>
  <c r="K73" i="37"/>
  <c r="L73" i="37"/>
  <c r="M73" i="37"/>
  <c r="C74" i="37"/>
  <c r="D74" i="37"/>
  <c r="E74" i="37"/>
  <c r="F74" i="37"/>
  <c r="G74" i="37"/>
  <c r="H74" i="37"/>
  <c r="I74" i="37"/>
  <c r="J74" i="37"/>
  <c r="K74" i="37"/>
  <c r="L74" i="37"/>
  <c r="M74" i="37"/>
  <c r="C75" i="37"/>
  <c r="D75" i="37"/>
  <c r="E75" i="37"/>
  <c r="F75" i="37"/>
  <c r="G75" i="37"/>
  <c r="H75" i="37"/>
  <c r="I75" i="37"/>
  <c r="J75" i="37"/>
  <c r="K75" i="37"/>
  <c r="L75" i="37"/>
  <c r="M75" i="37"/>
  <c r="C76" i="37"/>
  <c r="D76" i="37"/>
  <c r="E76" i="37"/>
  <c r="F76" i="37"/>
  <c r="G76" i="37"/>
  <c r="H76" i="37"/>
  <c r="I76" i="37"/>
  <c r="J76" i="37"/>
  <c r="K76" i="37"/>
  <c r="L76" i="37"/>
  <c r="M76" i="37"/>
  <c r="C77" i="37"/>
  <c r="D77" i="37"/>
  <c r="E77" i="37"/>
  <c r="F77" i="37"/>
  <c r="G77" i="37"/>
  <c r="H77" i="37"/>
  <c r="I77" i="37"/>
  <c r="J77" i="37"/>
  <c r="K77" i="37"/>
  <c r="L77" i="37"/>
  <c r="M77" i="37"/>
  <c r="B73" i="37"/>
  <c r="B74" i="37"/>
  <c r="B75" i="37"/>
  <c r="B76" i="37"/>
  <c r="B77" i="37"/>
  <c r="B72" i="37"/>
  <c r="B72" i="38"/>
  <c r="B67" i="38"/>
  <c r="AA69" i="7" l="1"/>
  <c r="AB69" i="7" s="1"/>
  <c r="AC69" i="7" s="1"/>
  <c r="AD69" i="7" s="1"/>
  <c r="AA68" i="7"/>
  <c r="AB68" i="7" s="1"/>
  <c r="AC68" i="7" s="1"/>
  <c r="AD68" i="7" s="1"/>
  <c r="AA71" i="7"/>
  <c r="AB71" i="7" s="1"/>
  <c r="AC71" i="7" s="1"/>
  <c r="AD71" i="7" s="1"/>
  <c r="AA72" i="7"/>
  <c r="AB72" i="7" s="1"/>
  <c r="AC72" i="7" s="1"/>
  <c r="AD72" i="7" s="1"/>
  <c r="AA70" i="7"/>
  <c r="AB70" i="7" s="1"/>
  <c r="AC70" i="7" s="1"/>
  <c r="AD70" i="7" s="1"/>
  <c r="C133" i="37"/>
  <c r="C121" i="7"/>
  <c r="D121" i="7"/>
  <c r="E121" i="7"/>
  <c r="F121" i="7"/>
  <c r="G121" i="7"/>
  <c r="H121" i="7"/>
  <c r="I121" i="7"/>
  <c r="J121" i="7"/>
  <c r="K121" i="7"/>
  <c r="L121" i="7"/>
  <c r="M121" i="7"/>
  <c r="X121" i="7" s="1"/>
  <c r="B121" i="7"/>
  <c r="U43" i="42"/>
  <c r="W43" i="42"/>
  <c r="Z44" i="42"/>
  <c r="O43" i="42"/>
  <c r="C43" i="42"/>
  <c r="D43" i="42"/>
  <c r="E43" i="42"/>
  <c r="F43" i="42"/>
  <c r="G43" i="42"/>
  <c r="H43" i="42"/>
  <c r="I43" i="42"/>
  <c r="J43" i="42"/>
  <c r="K43" i="42"/>
  <c r="L43" i="42"/>
  <c r="M43" i="42"/>
  <c r="C44" i="42"/>
  <c r="D44" i="42"/>
  <c r="E44" i="42"/>
  <c r="F44" i="42"/>
  <c r="G44" i="42"/>
  <c r="H44" i="42"/>
  <c r="I44" i="42"/>
  <c r="J44" i="42"/>
  <c r="K44" i="42"/>
  <c r="L44" i="42"/>
  <c r="M44" i="42"/>
  <c r="O44" i="42" s="1"/>
  <c r="B43" i="42"/>
  <c r="B44" i="42"/>
  <c r="N44" i="42" s="1"/>
  <c r="W121" i="7" l="1"/>
  <c r="O121" i="7"/>
  <c r="V121" i="7"/>
  <c r="U121" i="7"/>
  <c r="T121" i="7"/>
  <c r="S121" i="7"/>
  <c r="R121" i="7"/>
  <c r="Q121" i="7"/>
  <c r="P121" i="7"/>
  <c r="Z121" i="7"/>
  <c r="Y121" i="7"/>
  <c r="J133" i="37"/>
  <c r="M133" i="37"/>
  <c r="L133" i="37"/>
  <c r="K133" i="37"/>
  <c r="I133" i="37"/>
  <c r="H133" i="37"/>
  <c r="G133" i="37"/>
  <c r="B133" i="37"/>
  <c r="F133" i="37"/>
  <c r="D133" i="37"/>
  <c r="E133" i="37"/>
  <c r="Y44" i="42"/>
  <c r="T43" i="42"/>
  <c r="X44" i="42"/>
  <c r="S43" i="42"/>
  <c r="W44" i="42"/>
  <c r="R43" i="42"/>
  <c r="V44" i="42"/>
  <c r="Q43" i="42"/>
  <c r="U44" i="42"/>
  <c r="P43" i="42"/>
  <c r="T44" i="42"/>
  <c r="S44" i="42"/>
  <c r="R44" i="42"/>
  <c r="Q44" i="42"/>
  <c r="P44" i="42"/>
  <c r="AA44" i="42" s="1"/>
  <c r="AB44" i="42" s="1"/>
  <c r="AC44" i="42" s="1"/>
  <c r="AD44" i="42" s="1"/>
  <c r="Z43" i="42"/>
  <c r="N43" i="42"/>
  <c r="Y43" i="42"/>
  <c r="X43" i="42"/>
  <c r="V43" i="42"/>
  <c r="N133" i="37" l="1"/>
  <c r="X133" i="37"/>
  <c r="Z133" i="37"/>
  <c r="O133" i="37"/>
  <c r="P133" i="37"/>
  <c r="Q133" i="37"/>
  <c r="R133" i="37"/>
  <c r="T133" i="37"/>
  <c r="W133" i="37"/>
  <c r="S133" i="37"/>
  <c r="U133" i="37"/>
  <c r="V133" i="37"/>
  <c r="Y133" i="37"/>
  <c r="AA43" i="42"/>
  <c r="AG133" i="37" l="1"/>
  <c r="AI133" i="37"/>
  <c r="AJ133" i="37"/>
  <c r="AB133" i="37"/>
  <c r="AK133" i="37"/>
  <c r="AM133" i="37"/>
  <c r="AF133" i="37"/>
  <c r="AL133" i="37"/>
  <c r="AH133" i="37"/>
  <c r="AE133" i="37"/>
  <c r="AC133" i="37"/>
  <c r="AD133" i="37"/>
  <c r="AB43" i="42"/>
  <c r="AP133" i="37" l="1"/>
  <c r="AQ133" i="37"/>
  <c r="AR133" i="37"/>
  <c r="AS133" i="37"/>
  <c r="AT133" i="37"/>
  <c r="AU133" i="37"/>
  <c r="AV133" i="37"/>
  <c r="AW133" i="37"/>
  <c r="AX133" i="37"/>
  <c r="AY133" i="37"/>
  <c r="AZ133" i="37"/>
  <c r="AO133" i="37"/>
  <c r="AC43" i="42"/>
  <c r="AD43" i="42" l="1"/>
  <c r="B60" i="7" l="1"/>
  <c r="C60" i="7"/>
  <c r="D60" i="7"/>
  <c r="E60" i="7"/>
  <c r="F60" i="7"/>
  <c r="G60" i="7"/>
  <c r="H60" i="7"/>
  <c r="I60" i="7"/>
  <c r="J60" i="7"/>
  <c r="K60" i="7"/>
  <c r="L60" i="7"/>
  <c r="M60" i="7"/>
  <c r="N60" i="7" l="1"/>
  <c r="W60" i="7"/>
  <c r="X60" i="7"/>
  <c r="U60" i="7"/>
  <c r="T60" i="7"/>
  <c r="S60" i="7"/>
  <c r="R60" i="7"/>
  <c r="Q60" i="7"/>
  <c r="P60" i="7"/>
  <c r="O60" i="7"/>
  <c r="V60" i="7"/>
  <c r="Z60" i="7"/>
  <c r="Y60" i="7"/>
  <c r="C56" i="37"/>
  <c r="D56" i="37"/>
  <c r="E56" i="37"/>
  <c r="F56" i="37"/>
  <c r="G56" i="37"/>
  <c r="H56" i="37"/>
  <c r="I56" i="37"/>
  <c r="J56" i="37"/>
  <c r="K56" i="37"/>
  <c r="L56" i="37"/>
  <c r="M56" i="37"/>
  <c r="Y56" i="37" s="1"/>
  <c r="B103" i="38"/>
  <c r="C65" i="37"/>
  <c r="D65" i="37"/>
  <c r="E65" i="37"/>
  <c r="F65" i="37"/>
  <c r="G65" i="37"/>
  <c r="H65" i="37"/>
  <c r="I65" i="37"/>
  <c r="J65" i="37"/>
  <c r="K65" i="37"/>
  <c r="L65" i="37"/>
  <c r="M65" i="37"/>
  <c r="O65" i="37" s="1"/>
  <c r="B65" i="37"/>
  <c r="E338" i="44"/>
  <c r="E339" i="44"/>
  <c r="E340" i="44"/>
  <c r="E337" i="44"/>
  <c r="E149" i="44"/>
  <c r="E150" i="44"/>
  <c r="E151" i="44"/>
  <c r="E148" i="44"/>
  <c r="E252" i="44"/>
  <c r="E251" i="44"/>
  <c r="E250" i="44"/>
  <c r="E249" i="44"/>
  <c r="G340" i="44"/>
  <c r="G337" i="44"/>
  <c r="F340" i="44"/>
  <c r="F337" i="44"/>
  <c r="G149" i="44"/>
  <c r="F149" i="44"/>
  <c r="C240" i="44"/>
  <c r="T238" i="44"/>
  <c r="S238" i="44"/>
  <c r="R238" i="44"/>
  <c r="Q238" i="44"/>
  <c r="P238" i="44"/>
  <c r="O238" i="44"/>
  <c r="N238" i="44"/>
  <c r="M238" i="44"/>
  <c r="L238" i="44"/>
  <c r="K238" i="44"/>
  <c r="J238" i="44"/>
  <c r="I238" i="44"/>
  <c r="T237" i="44"/>
  <c r="S237" i="44"/>
  <c r="R237" i="44"/>
  <c r="Q237" i="44"/>
  <c r="P237" i="44"/>
  <c r="O237" i="44"/>
  <c r="N237" i="44"/>
  <c r="M237" i="44"/>
  <c r="L237" i="44"/>
  <c r="K237" i="44"/>
  <c r="J237" i="44"/>
  <c r="I237" i="44"/>
  <c r="T236" i="44"/>
  <c r="S236" i="44"/>
  <c r="R236" i="44"/>
  <c r="Q236" i="44"/>
  <c r="P236" i="44"/>
  <c r="O236" i="44"/>
  <c r="N236" i="44"/>
  <c r="M236" i="44"/>
  <c r="L236" i="44"/>
  <c r="K236" i="44"/>
  <c r="J236" i="44"/>
  <c r="I236" i="44"/>
  <c r="T235" i="44"/>
  <c r="S235" i="44"/>
  <c r="R235" i="44"/>
  <c r="Q235" i="44"/>
  <c r="P235" i="44"/>
  <c r="O235" i="44"/>
  <c r="N235" i="44"/>
  <c r="M235" i="44"/>
  <c r="L235" i="44"/>
  <c r="K235" i="44"/>
  <c r="J235" i="44"/>
  <c r="I235" i="44"/>
  <c r="T234" i="44"/>
  <c r="S234" i="44"/>
  <c r="R234" i="44"/>
  <c r="Q234" i="44"/>
  <c r="P234" i="44"/>
  <c r="O234" i="44"/>
  <c r="N234" i="44"/>
  <c r="M234" i="44"/>
  <c r="L234" i="44"/>
  <c r="K234" i="44"/>
  <c r="J234" i="44"/>
  <c r="I234" i="44"/>
  <c r="T233" i="44"/>
  <c r="S233" i="44"/>
  <c r="R233" i="44"/>
  <c r="Q233" i="44"/>
  <c r="P233" i="44"/>
  <c r="O233" i="44"/>
  <c r="N233" i="44"/>
  <c r="M233" i="44"/>
  <c r="L233" i="44"/>
  <c r="K233" i="44"/>
  <c r="J233" i="44"/>
  <c r="I233" i="44"/>
  <c r="T232" i="44"/>
  <c r="S232" i="44"/>
  <c r="R232" i="44"/>
  <c r="Q232" i="44"/>
  <c r="P232" i="44"/>
  <c r="O232" i="44"/>
  <c r="N232" i="44"/>
  <c r="M232" i="44"/>
  <c r="L232" i="44"/>
  <c r="K232" i="44"/>
  <c r="J232" i="44"/>
  <c r="I232" i="44"/>
  <c r="T231" i="44"/>
  <c r="S231" i="44"/>
  <c r="R231" i="44"/>
  <c r="Q231" i="44"/>
  <c r="P231" i="44"/>
  <c r="O231" i="44"/>
  <c r="N231" i="44"/>
  <c r="M231" i="44"/>
  <c r="L231" i="44"/>
  <c r="K231" i="44"/>
  <c r="J231" i="44"/>
  <c r="I231" i="44"/>
  <c r="C226" i="44"/>
  <c r="T224" i="44"/>
  <c r="S224" i="44"/>
  <c r="R224" i="44"/>
  <c r="Q224" i="44"/>
  <c r="P224" i="44"/>
  <c r="O224" i="44"/>
  <c r="N224" i="44"/>
  <c r="M224" i="44"/>
  <c r="L224" i="44"/>
  <c r="K224" i="44"/>
  <c r="J224" i="44"/>
  <c r="I224" i="44"/>
  <c r="T223" i="44"/>
  <c r="S223" i="44"/>
  <c r="R223" i="44"/>
  <c r="Q223" i="44"/>
  <c r="P223" i="44"/>
  <c r="O223" i="44"/>
  <c r="N223" i="44"/>
  <c r="M223" i="44"/>
  <c r="L223" i="44"/>
  <c r="K223" i="44"/>
  <c r="J223" i="44"/>
  <c r="I223" i="44"/>
  <c r="T222" i="44"/>
  <c r="S222" i="44"/>
  <c r="R222" i="44"/>
  <c r="Q222" i="44"/>
  <c r="P222" i="44"/>
  <c r="O222" i="44"/>
  <c r="N222" i="44"/>
  <c r="M222" i="44"/>
  <c r="L222" i="44"/>
  <c r="K222" i="44"/>
  <c r="J222" i="44"/>
  <c r="I222" i="44"/>
  <c r="T221" i="44"/>
  <c r="S221" i="44"/>
  <c r="R221" i="44"/>
  <c r="Q221" i="44"/>
  <c r="P221" i="44"/>
  <c r="O221" i="44"/>
  <c r="N221" i="44"/>
  <c r="M221" i="44"/>
  <c r="L221" i="44"/>
  <c r="K221" i="44"/>
  <c r="J221" i="44"/>
  <c r="I221" i="44"/>
  <c r="T220" i="44"/>
  <c r="S220" i="44"/>
  <c r="R220" i="44"/>
  <c r="Q220" i="44"/>
  <c r="P220" i="44"/>
  <c r="O220" i="44"/>
  <c r="N220" i="44"/>
  <c r="M220" i="44"/>
  <c r="L220" i="44"/>
  <c r="K220" i="44"/>
  <c r="J220" i="44"/>
  <c r="I220" i="44"/>
  <c r="T219" i="44"/>
  <c r="S219" i="44"/>
  <c r="R219" i="44"/>
  <c r="Q219" i="44"/>
  <c r="P219" i="44"/>
  <c r="O219" i="44"/>
  <c r="N219" i="44"/>
  <c r="M219" i="44"/>
  <c r="L219" i="44"/>
  <c r="K219" i="44"/>
  <c r="J219" i="44"/>
  <c r="I219" i="44"/>
  <c r="T218" i="44"/>
  <c r="S218" i="44"/>
  <c r="R218" i="44"/>
  <c r="Q218" i="44"/>
  <c r="P218" i="44"/>
  <c r="O218" i="44"/>
  <c r="N218" i="44"/>
  <c r="M218" i="44"/>
  <c r="L218" i="44"/>
  <c r="K218" i="44"/>
  <c r="J218" i="44"/>
  <c r="I218" i="44"/>
  <c r="T217" i="44"/>
  <c r="S217" i="44"/>
  <c r="R217" i="44"/>
  <c r="Q217" i="44"/>
  <c r="P217" i="44"/>
  <c r="O217" i="44"/>
  <c r="N217" i="44"/>
  <c r="M217" i="44"/>
  <c r="L217" i="44"/>
  <c r="K217" i="44"/>
  <c r="J217" i="44"/>
  <c r="I217" i="44"/>
  <c r="T216" i="44"/>
  <c r="S216" i="44"/>
  <c r="R216" i="44"/>
  <c r="Q216" i="44"/>
  <c r="P216" i="44"/>
  <c r="O216" i="44"/>
  <c r="N216" i="44"/>
  <c r="M216" i="44"/>
  <c r="L216" i="44"/>
  <c r="K216" i="44"/>
  <c r="J216" i="44"/>
  <c r="I216" i="44"/>
  <c r="T215" i="44"/>
  <c r="S215" i="44"/>
  <c r="R215" i="44"/>
  <c r="Q215" i="44"/>
  <c r="P215" i="44"/>
  <c r="O215" i="44"/>
  <c r="N215" i="44"/>
  <c r="M215" i="44"/>
  <c r="L215" i="44"/>
  <c r="K215" i="44"/>
  <c r="J215" i="44"/>
  <c r="I215" i="44"/>
  <c r="T214" i="44"/>
  <c r="S214" i="44"/>
  <c r="R214" i="44"/>
  <c r="Q214" i="44"/>
  <c r="P214" i="44"/>
  <c r="O214" i="44"/>
  <c r="N214" i="44"/>
  <c r="M214" i="44"/>
  <c r="L214" i="44"/>
  <c r="K214" i="44"/>
  <c r="J214" i="44"/>
  <c r="I214" i="44"/>
  <c r="C209" i="44"/>
  <c r="T207" i="44"/>
  <c r="S207" i="44"/>
  <c r="R207" i="44"/>
  <c r="Q207" i="44"/>
  <c r="P207" i="44"/>
  <c r="O207" i="44"/>
  <c r="N207" i="44"/>
  <c r="M207" i="44"/>
  <c r="L207" i="44"/>
  <c r="K207" i="44"/>
  <c r="J207" i="44"/>
  <c r="I207" i="44"/>
  <c r="T206" i="44"/>
  <c r="S206" i="44"/>
  <c r="R206" i="44"/>
  <c r="Q206" i="44"/>
  <c r="P206" i="44"/>
  <c r="O206" i="44"/>
  <c r="N206" i="44"/>
  <c r="M206" i="44"/>
  <c r="L206" i="44"/>
  <c r="K206" i="44"/>
  <c r="J206" i="44"/>
  <c r="I206" i="44"/>
  <c r="T205" i="44"/>
  <c r="S205" i="44"/>
  <c r="R205" i="44"/>
  <c r="Q205" i="44"/>
  <c r="P205" i="44"/>
  <c r="O205" i="44"/>
  <c r="N205" i="44"/>
  <c r="M205" i="44"/>
  <c r="L205" i="44"/>
  <c r="K205" i="44"/>
  <c r="J205" i="44"/>
  <c r="I205" i="44"/>
  <c r="T204" i="44"/>
  <c r="S204" i="44"/>
  <c r="R204" i="44"/>
  <c r="Q204" i="44"/>
  <c r="P204" i="44"/>
  <c r="O204" i="44"/>
  <c r="N204" i="44"/>
  <c r="M204" i="44"/>
  <c r="L204" i="44"/>
  <c r="K204" i="44"/>
  <c r="J204" i="44"/>
  <c r="I204" i="44"/>
  <c r="T203" i="44"/>
  <c r="S203" i="44"/>
  <c r="R203" i="44"/>
  <c r="Q203" i="44"/>
  <c r="P203" i="44"/>
  <c r="O203" i="44"/>
  <c r="N203" i="44"/>
  <c r="M203" i="44"/>
  <c r="L203" i="44"/>
  <c r="K203" i="44"/>
  <c r="J203" i="44"/>
  <c r="I203" i="44"/>
  <c r="T202" i="44"/>
  <c r="S202" i="44"/>
  <c r="R202" i="44"/>
  <c r="Q202" i="44"/>
  <c r="P202" i="44"/>
  <c r="O202" i="44"/>
  <c r="N202" i="44"/>
  <c r="M202" i="44"/>
  <c r="L202" i="44"/>
  <c r="K202" i="44"/>
  <c r="J202" i="44"/>
  <c r="I202" i="44"/>
  <c r="T201" i="44"/>
  <c r="S201" i="44"/>
  <c r="R201" i="44"/>
  <c r="Q201" i="44"/>
  <c r="P201" i="44"/>
  <c r="O201" i="44"/>
  <c r="N201" i="44"/>
  <c r="M201" i="44"/>
  <c r="L201" i="44"/>
  <c r="K201" i="44"/>
  <c r="J201" i="44"/>
  <c r="I201" i="44"/>
  <c r="T200" i="44"/>
  <c r="S200" i="44"/>
  <c r="R200" i="44"/>
  <c r="Q200" i="44"/>
  <c r="P200" i="44"/>
  <c r="O200" i="44"/>
  <c r="N200" i="44"/>
  <c r="M200" i="44"/>
  <c r="L200" i="44"/>
  <c r="K200" i="44"/>
  <c r="J200" i="44"/>
  <c r="I200" i="44"/>
  <c r="T199" i="44"/>
  <c r="S199" i="44"/>
  <c r="R199" i="44"/>
  <c r="Q199" i="44"/>
  <c r="P199" i="44"/>
  <c r="O199" i="44"/>
  <c r="N199" i="44"/>
  <c r="M199" i="44"/>
  <c r="L199" i="44"/>
  <c r="K199" i="44"/>
  <c r="J199" i="44"/>
  <c r="I199" i="44"/>
  <c r="T198" i="44"/>
  <c r="S198" i="44"/>
  <c r="R198" i="44"/>
  <c r="Q198" i="44"/>
  <c r="P198" i="44"/>
  <c r="O198" i="44"/>
  <c r="N198" i="44"/>
  <c r="M198" i="44"/>
  <c r="L198" i="44"/>
  <c r="K198" i="44"/>
  <c r="J198" i="44"/>
  <c r="I198" i="44"/>
  <c r="C193" i="44"/>
  <c r="T191" i="44"/>
  <c r="S191" i="44"/>
  <c r="R191" i="44"/>
  <c r="Q191" i="44"/>
  <c r="P191" i="44"/>
  <c r="O191" i="44"/>
  <c r="N191" i="44"/>
  <c r="M191" i="44"/>
  <c r="L191" i="44"/>
  <c r="K191" i="44"/>
  <c r="J191" i="44"/>
  <c r="I191" i="44"/>
  <c r="T190" i="44"/>
  <c r="S190" i="44"/>
  <c r="R190" i="44"/>
  <c r="Q190" i="44"/>
  <c r="P190" i="44"/>
  <c r="O190" i="44"/>
  <c r="N190" i="44"/>
  <c r="M190" i="44"/>
  <c r="L190" i="44"/>
  <c r="K190" i="44"/>
  <c r="J190" i="44"/>
  <c r="I190" i="44"/>
  <c r="C185" i="44"/>
  <c r="T183" i="44"/>
  <c r="S183" i="44"/>
  <c r="R183" i="44"/>
  <c r="Q183" i="44"/>
  <c r="P183" i="44"/>
  <c r="O183" i="44"/>
  <c r="N183" i="44"/>
  <c r="M183" i="44"/>
  <c r="L183" i="44"/>
  <c r="K183" i="44"/>
  <c r="J183" i="44"/>
  <c r="I183" i="44"/>
  <c r="T182" i="44"/>
  <c r="S182" i="44"/>
  <c r="R182" i="44"/>
  <c r="Q182" i="44"/>
  <c r="P182" i="44"/>
  <c r="O182" i="44"/>
  <c r="N182" i="44"/>
  <c r="M182" i="44"/>
  <c r="L182" i="44"/>
  <c r="K182" i="44"/>
  <c r="J182" i="44"/>
  <c r="I182" i="44"/>
  <c r="C177" i="44"/>
  <c r="T175" i="44"/>
  <c r="S175" i="44"/>
  <c r="R175" i="44"/>
  <c r="Q175" i="44"/>
  <c r="P175" i="44"/>
  <c r="O175" i="44"/>
  <c r="N175" i="44"/>
  <c r="M175" i="44"/>
  <c r="L175" i="44"/>
  <c r="K175" i="44"/>
  <c r="J175" i="44"/>
  <c r="I175" i="44"/>
  <c r="T174" i="44"/>
  <c r="S174" i="44"/>
  <c r="R174" i="44"/>
  <c r="Q174" i="44"/>
  <c r="P174" i="44"/>
  <c r="O174" i="44"/>
  <c r="N174" i="44"/>
  <c r="M174" i="44"/>
  <c r="L174" i="44"/>
  <c r="K174" i="44"/>
  <c r="J174" i="44"/>
  <c r="I174" i="44"/>
  <c r="T173" i="44"/>
  <c r="S173" i="44"/>
  <c r="R173" i="44"/>
  <c r="Q173" i="44"/>
  <c r="P173" i="44"/>
  <c r="O173" i="44"/>
  <c r="N173" i="44"/>
  <c r="M173" i="44"/>
  <c r="L173" i="44"/>
  <c r="K173" i="44"/>
  <c r="J173" i="44"/>
  <c r="I173" i="44"/>
  <c r="T172" i="44"/>
  <c r="S172" i="44"/>
  <c r="R172" i="44"/>
  <c r="Q172" i="44"/>
  <c r="P172" i="44"/>
  <c r="O172" i="44"/>
  <c r="N172" i="44"/>
  <c r="M172" i="44"/>
  <c r="L172" i="44"/>
  <c r="K172" i="44"/>
  <c r="J172" i="44"/>
  <c r="I172" i="44"/>
  <c r="T171" i="44"/>
  <c r="S171" i="44"/>
  <c r="R171" i="44"/>
  <c r="Q171" i="44"/>
  <c r="P171" i="44"/>
  <c r="O171" i="44"/>
  <c r="N171" i="44"/>
  <c r="M171" i="44"/>
  <c r="L171" i="44"/>
  <c r="K171" i="44"/>
  <c r="J171" i="44"/>
  <c r="I171" i="44"/>
  <c r="T170" i="44"/>
  <c r="S170" i="44"/>
  <c r="R170" i="44"/>
  <c r="Q170" i="44"/>
  <c r="P170" i="44"/>
  <c r="O170" i="44"/>
  <c r="N170" i="44"/>
  <c r="M170" i="44"/>
  <c r="L170" i="44"/>
  <c r="K170" i="44"/>
  <c r="J170" i="44"/>
  <c r="I170" i="44"/>
  <c r="T169" i="44"/>
  <c r="S169" i="44"/>
  <c r="R169" i="44"/>
  <c r="Q169" i="44"/>
  <c r="P169" i="44"/>
  <c r="O169" i="44"/>
  <c r="N169" i="44"/>
  <c r="M169" i="44"/>
  <c r="L169" i="44"/>
  <c r="K169" i="44"/>
  <c r="J169" i="44"/>
  <c r="I169" i="44"/>
  <c r="T168" i="44"/>
  <c r="S168" i="44"/>
  <c r="R168" i="44"/>
  <c r="Q168" i="44"/>
  <c r="P168" i="44"/>
  <c r="O168" i="44"/>
  <c r="N168" i="44"/>
  <c r="M168" i="44"/>
  <c r="L168" i="44"/>
  <c r="K168" i="44"/>
  <c r="J168" i="44"/>
  <c r="I168" i="44"/>
  <c r="T167" i="44"/>
  <c r="S167" i="44"/>
  <c r="R167" i="44"/>
  <c r="Q167" i="44"/>
  <c r="P167" i="44"/>
  <c r="O167" i="44"/>
  <c r="N167" i="44"/>
  <c r="M167" i="44"/>
  <c r="L167" i="44"/>
  <c r="K167" i="44"/>
  <c r="J167" i="44"/>
  <c r="I167" i="44"/>
  <c r="T166" i="44"/>
  <c r="S166" i="44"/>
  <c r="R166" i="44"/>
  <c r="Q166" i="44"/>
  <c r="P166" i="44"/>
  <c r="O166" i="44"/>
  <c r="N166" i="44"/>
  <c r="M166" i="44"/>
  <c r="L166" i="44"/>
  <c r="K166" i="44"/>
  <c r="J166" i="44"/>
  <c r="I166" i="44"/>
  <c r="T165" i="44"/>
  <c r="S165" i="44"/>
  <c r="R165" i="44"/>
  <c r="Q165" i="44"/>
  <c r="P165" i="44"/>
  <c r="O165" i="44"/>
  <c r="N165" i="44"/>
  <c r="M165" i="44"/>
  <c r="L165" i="44"/>
  <c r="K165" i="44"/>
  <c r="J165" i="44"/>
  <c r="I165" i="44"/>
  <c r="T164" i="44"/>
  <c r="S164" i="44"/>
  <c r="R164" i="44"/>
  <c r="Q164" i="44"/>
  <c r="P164" i="44"/>
  <c r="O164" i="44"/>
  <c r="N164" i="44"/>
  <c r="M164" i="44"/>
  <c r="L164" i="44"/>
  <c r="K164" i="44"/>
  <c r="J164" i="44"/>
  <c r="I164" i="44"/>
  <c r="T163" i="44"/>
  <c r="S163" i="44"/>
  <c r="R163" i="44"/>
  <c r="Q163" i="44"/>
  <c r="P163" i="44"/>
  <c r="O163" i="44"/>
  <c r="N163" i="44"/>
  <c r="M163" i="44"/>
  <c r="L163" i="44"/>
  <c r="K163" i="44"/>
  <c r="J163" i="44"/>
  <c r="I163" i="44"/>
  <c r="T162" i="44"/>
  <c r="S162" i="44"/>
  <c r="R162" i="44"/>
  <c r="Q162" i="44"/>
  <c r="P162" i="44"/>
  <c r="O162" i="44"/>
  <c r="N162" i="44"/>
  <c r="M162" i="44"/>
  <c r="L162" i="44"/>
  <c r="K162" i="44"/>
  <c r="J162" i="44"/>
  <c r="I162" i="44"/>
  <c r="T161" i="44"/>
  <c r="S161" i="44"/>
  <c r="R161" i="44"/>
  <c r="Q161" i="44"/>
  <c r="P161" i="44"/>
  <c r="O161" i="44"/>
  <c r="N161" i="44"/>
  <c r="M161" i="44"/>
  <c r="L161" i="44"/>
  <c r="K161" i="44"/>
  <c r="J161" i="44"/>
  <c r="I161" i="44"/>
  <c r="C329" i="44"/>
  <c r="T327" i="44"/>
  <c r="S327" i="44"/>
  <c r="R327" i="44"/>
  <c r="Q327" i="44"/>
  <c r="P327" i="44"/>
  <c r="O327" i="44"/>
  <c r="N327" i="44"/>
  <c r="M327" i="44"/>
  <c r="L327" i="44"/>
  <c r="K327" i="44"/>
  <c r="J327" i="44"/>
  <c r="I327" i="44"/>
  <c r="T326" i="44"/>
  <c r="S326" i="44"/>
  <c r="R326" i="44"/>
  <c r="Q326" i="44"/>
  <c r="P326" i="44"/>
  <c r="O326" i="44"/>
  <c r="N326" i="44"/>
  <c r="M326" i="44"/>
  <c r="L326" i="44"/>
  <c r="K326" i="44"/>
  <c r="J326" i="44"/>
  <c r="I326" i="44"/>
  <c r="T325" i="44"/>
  <c r="S325" i="44"/>
  <c r="R325" i="44"/>
  <c r="Q325" i="44"/>
  <c r="P325" i="44"/>
  <c r="O325" i="44"/>
  <c r="N325" i="44"/>
  <c r="M325" i="44"/>
  <c r="L325" i="44"/>
  <c r="K325" i="44"/>
  <c r="J325" i="44"/>
  <c r="I325" i="44"/>
  <c r="T324" i="44"/>
  <c r="S324" i="44"/>
  <c r="R324" i="44"/>
  <c r="Q324" i="44"/>
  <c r="P324" i="44"/>
  <c r="O324" i="44"/>
  <c r="N324" i="44"/>
  <c r="M324" i="44"/>
  <c r="L324" i="44"/>
  <c r="K324" i="44"/>
  <c r="J324" i="44"/>
  <c r="I324" i="44"/>
  <c r="T323" i="44"/>
  <c r="S323" i="44"/>
  <c r="R323" i="44"/>
  <c r="Q323" i="44"/>
  <c r="P323" i="44"/>
  <c r="O323" i="44"/>
  <c r="N323" i="44"/>
  <c r="M323" i="44"/>
  <c r="L323" i="44"/>
  <c r="K323" i="44"/>
  <c r="J323" i="44"/>
  <c r="I323" i="44"/>
  <c r="T322" i="44"/>
  <c r="S322" i="44"/>
  <c r="R322" i="44"/>
  <c r="Q322" i="44"/>
  <c r="P322" i="44"/>
  <c r="O322" i="44"/>
  <c r="N322" i="44"/>
  <c r="M322" i="44"/>
  <c r="L322" i="44"/>
  <c r="K322" i="44"/>
  <c r="J322" i="44"/>
  <c r="I322" i="44"/>
  <c r="T321" i="44"/>
  <c r="S321" i="44"/>
  <c r="R321" i="44"/>
  <c r="Q321" i="44"/>
  <c r="P321" i="44"/>
  <c r="O321" i="44"/>
  <c r="N321" i="44"/>
  <c r="M321" i="44"/>
  <c r="L321" i="44"/>
  <c r="K321" i="44"/>
  <c r="J321" i="44"/>
  <c r="I321" i="44"/>
  <c r="C316" i="44"/>
  <c r="T314" i="44"/>
  <c r="S314" i="44"/>
  <c r="R314" i="44"/>
  <c r="Q314" i="44"/>
  <c r="P314" i="44"/>
  <c r="O314" i="44"/>
  <c r="N314" i="44"/>
  <c r="M314" i="44"/>
  <c r="L314" i="44"/>
  <c r="K314" i="44"/>
  <c r="J314" i="44"/>
  <c r="I314" i="44"/>
  <c r="T313" i="44"/>
  <c r="S313" i="44"/>
  <c r="R313" i="44"/>
  <c r="Q313" i="44"/>
  <c r="P313" i="44"/>
  <c r="O313" i="44"/>
  <c r="N313" i="44"/>
  <c r="M313" i="44"/>
  <c r="L313" i="44"/>
  <c r="K313" i="44"/>
  <c r="J313" i="44"/>
  <c r="I313" i="44"/>
  <c r="T312" i="44"/>
  <c r="S312" i="44"/>
  <c r="R312" i="44"/>
  <c r="Q312" i="44"/>
  <c r="P312" i="44"/>
  <c r="O312" i="44"/>
  <c r="N312" i="44"/>
  <c r="M312" i="44"/>
  <c r="L312" i="44"/>
  <c r="K312" i="44"/>
  <c r="J312" i="44"/>
  <c r="I312" i="44"/>
  <c r="T311" i="44"/>
  <c r="S311" i="44"/>
  <c r="R311" i="44"/>
  <c r="Q311" i="44"/>
  <c r="P311" i="44"/>
  <c r="O311" i="44"/>
  <c r="N311" i="44"/>
  <c r="M311" i="44"/>
  <c r="L311" i="44"/>
  <c r="K311" i="44"/>
  <c r="J311" i="44"/>
  <c r="I311" i="44"/>
  <c r="T310" i="44"/>
  <c r="S310" i="44"/>
  <c r="R310" i="44"/>
  <c r="Q310" i="44"/>
  <c r="P310" i="44"/>
  <c r="O310" i="44"/>
  <c r="N310" i="44"/>
  <c r="M310" i="44"/>
  <c r="L310" i="44"/>
  <c r="K310" i="44"/>
  <c r="J310" i="44"/>
  <c r="I310" i="44"/>
  <c r="T309" i="44"/>
  <c r="S309" i="44"/>
  <c r="R309" i="44"/>
  <c r="Q309" i="44"/>
  <c r="P309" i="44"/>
  <c r="O309" i="44"/>
  <c r="N309" i="44"/>
  <c r="M309" i="44"/>
  <c r="L309" i="44"/>
  <c r="K309" i="44"/>
  <c r="J309" i="44"/>
  <c r="I309" i="44"/>
  <c r="T308" i="44"/>
  <c r="S308" i="44"/>
  <c r="R308" i="44"/>
  <c r="Q308" i="44"/>
  <c r="P308" i="44"/>
  <c r="O308" i="44"/>
  <c r="N308" i="44"/>
  <c r="M308" i="44"/>
  <c r="L308" i="44"/>
  <c r="K308" i="44"/>
  <c r="J308" i="44"/>
  <c r="I308" i="44"/>
  <c r="C303" i="44"/>
  <c r="T301" i="44"/>
  <c r="S301" i="44"/>
  <c r="R301" i="44"/>
  <c r="Q301" i="44"/>
  <c r="P301" i="44"/>
  <c r="O301" i="44"/>
  <c r="N301" i="44"/>
  <c r="M301" i="44"/>
  <c r="L301" i="44"/>
  <c r="K301" i="44"/>
  <c r="J301" i="44"/>
  <c r="I301" i="44"/>
  <c r="T300" i="44"/>
  <c r="S300" i="44"/>
  <c r="R300" i="44"/>
  <c r="Q300" i="44"/>
  <c r="P300" i="44"/>
  <c r="O300" i="44"/>
  <c r="N300" i="44"/>
  <c r="M300" i="44"/>
  <c r="L300" i="44"/>
  <c r="K300" i="44"/>
  <c r="J300" i="44"/>
  <c r="I300" i="44"/>
  <c r="T299" i="44"/>
  <c r="S299" i="44"/>
  <c r="R299" i="44"/>
  <c r="Q299" i="44"/>
  <c r="P299" i="44"/>
  <c r="O299" i="44"/>
  <c r="N299" i="44"/>
  <c r="M299" i="44"/>
  <c r="L299" i="44"/>
  <c r="K299" i="44"/>
  <c r="J299" i="44"/>
  <c r="I299" i="44"/>
  <c r="C294" i="44"/>
  <c r="T292" i="44"/>
  <c r="S292" i="44"/>
  <c r="R292" i="44"/>
  <c r="Q292" i="44"/>
  <c r="P292" i="44"/>
  <c r="O292" i="44"/>
  <c r="N292" i="44"/>
  <c r="M292" i="44"/>
  <c r="L292" i="44"/>
  <c r="K292" i="44"/>
  <c r="J292" i="44"/>
  <c r="I292" i="44"/>
  <c r="T291" i="44"/>
  <c r="S291" i="44"/>
  <c r="R291" i="44"/>
  <c r="Q291" i="44"/>
  <c r="P291" i="44"/>
  <c r="O291" i="44"/>
  <c r="N291" i="44"/>
  <c r="M291" i="44"/>
  <c r="L291" i="44"/>
  <c r="K291" i="44"/>
  <c r="J291" i="44"/>
  <c r="I291" i="44"/>
  <c r="T290" i="44"/>
  <c r="S290" i="44"/>
  <c r="R290" i="44"/>
  <c r="Q290" i="44"/>
  <c r="P290" i="44"/>
  <c r="O290" i="44"/>
  <c r="N290" i="44"/>
  <c r="M290" i="44"/>
  <c r="L290" i="44"/>
  <c r="K290" i="44"/>
  <c r="J290" i="44"/>
  <c r="I290" i="44"/>
  <c r="T289" i="44"/>
  <c r="S289" i="44"/>
  <c r="R289" i="44"/>
  <c r="Q289" i="44"/>
  <c r="P289" i="44"/>
  <c r="O289" i="44"/>
  <c r="N289" i="44"/>
  <c r="M289" i="44"/>
  <c r="L289" i="44"/>
  <c r="K289" i="44"/>
  <c r="J289" i="44"/>
  <c r="I289" i="44"/>
  <c r="T288" i="44"/>
  <c r="S288" i="44"/>
  <c r="R288" i="44"/>
  <c r="Q288" i="44"/>
  <c r="P288" i="44"/>
  <c r="O288" i="44"/>
  <c r="N288" i="44"/>
  <c r="M288" i="44"/>
  <c r="L288" i="44"/>
  <c r="K288" i="44"/>
  <c r="J288" i="44"/>
  <c r="I288" i="44"/>
  <c r="T287" i="44"/>
  <c r="S287" i="44"/>
  <c r="R287" i="44"/>
  <c r="Q287" i="44"/>
  <c r="P287" i="44"/>
  <c r="O287" i="44"/>
  <c r="N287" i="44"/>
  <c r="M287" i="44"/>
  <c r="L287" i="44"/>
  <c r="K287" i="44"/>
  <c r="J287" i="44"/>
  <c r="I287" i="44"/>
  <c r="T286" i="44"/>
  <c r="S286" i="44"/>
  <c r="R286" i="44"/>
  <c r="Q286" i="44"/>
  <c r="P286" i="44"/>
  <c r="O286" i="44"/>
  <c r="N286" i="44"/>
  <c r="M286" i="44"/>
  <c r="L286" i="44"/>
  <c r="K286" i="44"/>
  <c r="J286" i="44"/>
  <c r="I286" i="44"/>
  <c r="T285" i="44"/>
  <c r="S285" i="44"/>
  <c r="R285" i="44"/>
  <c r="Q285" i="44"/>
  <c r="P285" i="44"/>
  <c r="O285" i="44"/>
  <c r="N285" i="44"/>
  <c r="M285" i="44"/>
  <c r="L285" i="44"/>
  <c r="K285" i="44"/>
  <c r="J285" i="44"/>
  <c r="I285" i="44"/>
  <c r="T284" i="44"/>
  <c r="S284" i="44"/>
  <c r="R284" i="44"/>
  <c r="Q284" i="44"/>
  <c r="P284" i="44"/>
  <c r="O284" i="44"/>
  <c r="N284" i="44"/>
  <c r="M284" i="44"/>
  <c r="L284" i="44"/>
  <c r="K284" i="44"/>
  <c r="J284" i="44"/>
  <c r="I284" i="44"/>
  <c r="T283" i="44"/>
  <c r="S283" i="44"/>
  <c r="R283" i="44"/>
  <c r="Q283" i="44"/>
  <c r="P283" i="44"/>
  <c r="O283" i="44"/>
  <c r="N283" i="44"/>
  <c r="M283" i="44"/>
  <c r="L283" i="44"/>
  <c r="K283" i="44"/>
  <c r="J283" i="44"/>
  <c r="I283" i="44"/>
  <c r="C278" i="44"/>
  <c r="T276" i="44"/>
  <c r="S276" i="44"/>
  <c r="R276" i="44"/>
  <c r="Q276" i="44"/>
  <c r="P276" i="44"/>
  <c r="O276" i="44"/>
  <c r="N276" i="44"/>
  <c r="M276" i="44"/>
  <c r="L276" i="44"/>
  <c r="K276" i="44"/>
  <c r="J276" i="44"/>
  <c r="I276" i="44"/>
  <c r="T275" i="44"/>
  <c r="S275" i="44"/>
  <c r="R275" i="44"/>
  <c r="Q275" i="44"/>
  <c r="P275" i="44"/>
  <c r="O275" i="44"/>
  <c r="N275" i="44"/>
  <c r="M275" i="44"/>
  <c r="L275" i="44"/>
  <c r="K275" i="44"/>
  <c r="J275" i="44"/>
  <c r="I275" i="44"/>
  <c r="T274" i="44"/>
  <c r="S274" i="44"/>
  <c r="R274" i="44"/>
  <c r="Q274" i="44"/>
  <c r="P274" i="44"/>
  <c r="O274" i="44"/>
  <c r="N274" i="44"/>
  <c r="M274" i="44"/>
  <c r="L274" i="44"/>
  <c r="K274" i="44"/>
  <c r="J274" i="44"/>
  <c r="I274" i="44"/>
  <c r="C269" i="44"/>
  <c r="T267" i="44"/>
  <c r="S267" i="44"/>
  <c r="R267" i="44"/>
  <c r="Q267" i="44"/>
  <c r="P267" i="44"/>
  <c r="O267" i="44"/>
  <c r="N267" i="44"/>
  <c r="M267" i="44"/>
  <c r="L267" i="44"/>
  <c r="K267" i="44"/>
  <c r="J267" i="44"/>
  <c r="I267" i="44"/>
  <c r="T266" i="44"/>
  <c r="S266" i="44"/>
  <c r="R266" i="44"/>
  <c r="Q266" i="44"/>
  <c r="P266" i="44"/>
  <c r="O266" i="44"/>
  <c r="N266" i="44"/>
  <c r="M266" i="44"/>
  <c r="L266" i="44"/>
  <c r="K266" i="44"/>
  <c r="J266" i="44"/>
  <c r="I266" i="44"/>
  <c r="T265" i="44"/>
  <c r="S265" i="44"/>
  <c r="R265" i="44"/>
  <c r="Q265" i="44"/>
  <c r="P265" i="44"/>
  <c r="O265" i="44"/>
  <c r="N265" i="44"/>
  <c r="M265" i="44"/>
  <c r="L265" i="44"/>
  <c r="K265" i="44"/>
  <c r="J265" i="44"/>
  <c r="I265" i="44"/>
  <c r="T264" i="44"/>
  <c r="S264" i="44"/>
  <c r="R264" i="44"/>
  <c r="Q264" i="44"/>
  <c r="P264" i="44"/>
  <c r="O264" i="44"/>
  <c r="N264" i="44"/>
  <c r="M264" i="44"/>
  <c r="L264" i="44"/>
  <c r="K264" i="44"/>
  <c r="J264" i="44"/>
  <c r="I264" i="44"/>
  <c r="T263" i="44"/>
  <c r="S263" i="44"/>
  <c r="R263" i="44"/>
  <c r="Q263" i="44"/>
  <c r="P263" i="44"/>
  <c r="O263" i="44"/>
  <c r="N263" i="44"/>
  <c r="M263" i="44"/>
  <c r="L263" i="44"/>
  <c r="K263" i="44"/>
  <c r="J263" i="44"/>
  <c r="I263" i="44"/>
  <c r="T262" i="44"/>
  <c r="S262" i="44"/>
  <c r="R262" i="44"/>
  <c r="Q262" i="44"/>
  <c r="P262" i="44"/>
  <c r="O262" i="44"/>
  <c r="N262" i="44"/>
  <c r="M262" i="44"/>
  <c r="L262" i="44"/>
  <c r="K262" i="44"/>
  <c r="J262" i="44"/>
  <c r="I262" i="44"/>
  <c r="T261" i="44"/>
  <c r="S261" i="44"/>
  <c r="R261" i="44"/>
  <c r="Q261" i="44"/>
  <c r="P261" i="44"/>
  <c r="O261" i="44"/>
  <c r="N261" i="44"/>
  <c r="M261" i="44"/>
  <c r="L261" i="44"/>
  <c r="K261" i="44"/>
  <c r="J261" i="44"/>
  <c r="I261" i="44"/>
  <c r="T260" i="44"/>
  <c r="S260" i="44"/>
  <c r="R260" i="44"/>
  <c r="Q260" i="44"/>
  <c r="P260" i="44"/>
  <c r="O260" i="44"/>
  <c r="N260" i="44"/>
  <c r="M260" i="44"/>
  <c r="L260" i="44"/>
  <c r="K260" i="44"/>
  <c r="J260" i="44"/>
  <c r="I260" i="44"/>
  <c r="T259" i="44"/>
  <c r="S259" i="44"/>
  <c r="R259" i="44"/>
  <c r="Q259" i="44"/>
  <c r="P259" i="44"/>
  <c r="O259" i="44"/>
  <c r="N259" i="44"/>
  <c r="M259" i="44"/>
  <c r="L259" i="44"/>
  <c r="K259" i="44"/>
  <c r="J259" i="44"/>
  <c r="I259" i="44"/>
  <c r="C140" i="44"/>
  <c r="T138" i="44"/>
  <c r="S138" i="44"/>
  <c r="R138" i="44"/>
  <c r="Q138" i="44"/>
  <c r="P138" i="44"/>
  <c r="O138" i="44"/>
  <c r="N138" i="44"/>
  <c r="M138" i="44"/>
  <c r="L138" i="44"/>
  <c r="K138" i="44"/>
  <c r="J138" i="44"/>
  <c r="I138" i="44"/>
  <c r="T137" i="44"/>
  <c r="S137" i="44"/>
  <c r="R137" i="44"/>
  <c r="Q137" i="44"/>
  <c r="P137" i="44"/>
  <c r="O137" i="44"/>
  <c r="N137" i="44"/>
  <c r="M137" i="44"/>
  <c r="L137" i="44"/>
  <c r="K137" i="44"/>
  <c r="J137" i="44"/>
  <c r="I137" i="44"/>
  <c r="T136" i="44"/>
  <c r="S136" i="44"/>
  <c r="R136" i="44"/>
  <c r="Q136" i="44"/>
  <c r="P136" i="44"/>
  <c r="O136" i="44"/>
  <c r="N136" i="44"/>
  <c r="M136" i="44"/>
  <c r="L136" i="44"/>
  <c r="K136" i="44"/>
  <c r="J136" i="44"/>
  <c r="I136" i="44"/>
  <c r="T135" i="44"/>
  <c r="S135" i="44"/>
  <c r="R135" i="44"/>
  <c r="Q135" i="44"/>
  <c r="P135" i="44"/>
  <c r="O135" i="44"/>
  <c r="N135" i="44"/>
  <c r="M135" i="44"/>
  <c r="L135" i="44"/>
  <c r="K135" i="44"/>
  <c r="J135" i="44"/>
  <c r="I135" i="44"/>
  <c r="T134" i="44"/>
  <c r="S134" i="44"/>
  <c r="R134" i="44"/>
  <c r="Q134" i="44"/>
  <c r="P134" i="44"/>
  <c r="O134" i="44"/>
  <c r="N134" i="44"/>
  <c r="M134" i="44"/>
  <c r="L134" i="44"/>
  <c r="K134" i="44"/>
  <c r="J134" i="44"/>
  <c r="I134" i="44"/>
  <c r="T133" i="44"/>
  <c r="S133" i="44"/>
  <c r="R133" i="44"/>
  <c r="Q133" i="44"/>
  <c r="P133" i="44"/>
  <c r="O133" i="44"/>
  <c r="N133" i="44"/>
  <c r="M133" i="44"/>
  <c r="L133" i="44"/>
  <c r="K133" i="44"/>
  <c r="J133" i="44"/>
  <c r="I133" i="44"/>
  <c r="T132" i="44"/>
  <c r="S132" i="44"/>
  <c r="R132" i="44"/>
  <c r="Q132" i="44"/>
  <c r="P132" i="44"/>
  <c r="O132" i="44"/>
  <c r="N132" i="44"/>
  <c r="M132" i="44"/>
  <c r="L132" i="44"/>
  <c r="K132" i="44"/>
  <c r="J132" i="44"/>
  <c r="I132" i="44"/>
  <c r="T131" i="44"/>
  <c r="S131" i="44"/>
  <c r="R131" i="44"/>
  <c r="Q131" i="44"/>
  <c r="P131" i="44"/>
  <c r="O131" i="44"/>
  <c r="N131" i="44"/>
  <c r="M131" i="44"/>
  <c r="L131" i="44"/>
  <c r="K131" i="44"/>
  <c r="J131" i="44"/>
  <c r="I131" i="44"/>
  <c r="T130" i="44"/>
  <c r="S130" i="44"/>
  <c r="R130" i="44"/>
  <c r="Q130" i="44"/>
  <c r="P130" i="44"/>
  <c r="O130" i="44"/>
  <c r="N130" i="44"/>
  <c r="M130" i="44"/>
  <c r="L130" i="44"/>
  <c r="K130" i="44"/>
  <c r="J130" i="44"/>
  <c r="I130" i="44"/>
  <c r="T129" i="44"/>
  <c r="S129" i="44"/>
  <c r="R129" i="44"/>
  <c r="Q129" i="44"/>
  <c r="P129" i="44"/>
  <c r="O129" i="44"/>
  <c r="N129" i="44"/>
  <c r="M129" i="44"/>
  <c r="L129" i="44"/>
  <c r="K129" i="44"/>
  <c r="J129" i="44"/>
  <c r="I129" i="44"/>
  <c r="T128" i="44"/>
  <c r="S128" i="44"/>
  <c r="R128" i="44"/>
  <c r="Q128" i="44"/>
  <c r="P128" i="44"/>
  <c r="O128" i="44"/>
  <c r="N128" i="44"/>
  <c r="M128" i="44"/>
  <c r="L128" i="44"/>
  <c r="K128" i="44"/>
  <c r="J128" i="44"/>
  <c r="I128" i="44"/>
  <c r="T127" i="44"/>
  <c r="S127" i="44"/>
  <c r="R127" i="44"/>
  <c r="Q127" i="44"/>
  <c r="P127" i="44"/>
  <c r="O127" i="44"/>
  <c r="N127" i="44"/>
  <c r="M127" i="44"/>
  <c r="L127" i="44"/>
  <c r="K127" i="44"/>
  <c r="J127" i="44"/>
  <c r="I127" i="44"/>
  <c r="T126" i="44"/>
  <c r="S126" i="44"/>
  <c r="R126" i="44"/>
  <c r="Q126" i="44"/>
  <c r="P126" i="44"/>
  <c r="O126" i="44"/>
  <c r="N126" i="44"/>
  <c r="M126" i="44"/>
  <c r="L126" i="44"/>
  <c r="K126" i="44"/>
  <c r="J126" i="44"/>
  <c r="I126" i="44"/>
  <c r="T125" i="44"/>
  <c r="S125" i="44"/>
  <c r="R125" i="44"/>
  <c r="Q125" i="44"/>
  <c r="P125" i="44"/>
  <c r="O125" i="44"/>
  <c r="N125" i="44"/>
  <c r="M125" i="44"/>
  <c r="L125" i="44"/>
  <c r="K125" i="44"/>
  <c r="J125" i="44"/>
  <c r="I125" i="44"/>
  <c r="T124" i="44"/>
  <c r="S124" i="44"/>
  <c r="R124" i="44"/>
  <c r="Q124" i="44"/>
  <c r="P124" i="44"/>
  <c r="O124" i="44"/>
  <c r="N124" i="44"/>
  <c r="M124" i="44"/>
  <c r="L124" i="44"/>
  <c r="K124" i="44"/>
  <c r="J124" i="44"/>
  <c r="I124" i="44"/>
  <c r="T123" i="44"/>
  <c r="S123" i="44"/>
  <c r="R123" i="44"/>
  <c r="Q123" i="44"/>
  <c r="P123" i="44"/>
  <c r="O123" i="44"/>
  <c r="N123" i="44"/>
  <c r="M123" i="44"/>
  <c r="L123" i="44"/>
  <c r="K123" i="44"/>
  <c r="J123" i="44"/>
  <c r="I123" i="44"/>
  <c r="T122" i="44"/>
  <c r="S122" i="44"/>
  <c r="R122" i="44"/>
  <c r="Q122" i="44"/>
  <c r="P122" i="44"/>
  <c r="O122" i="44"/>
  <c r="N122" i="44"/>
  <c r="M122" i="44"/>
  <c r="L122" i="44"/>
  <c r="K122" i="44"/>
  <c r="J122" i="44"/>
  <c r="I122" i="44"/>
  <c r="T121" i="44"/>
  <c r="S121" i="44"/>
  <c r="R121" i="44"/>
  <c r="Q121" i="44"/>
  <c r="P121" i="44"/>
  <c r="O121" i="44"/>
  <c r="N121" i="44"/>
  <c r="M121" i="44"/>
  <c r="L121" i="44"/>
  <c r="K121" i="44"/>
  <c r="J121" i="44"/>
  <c r="I121" i="44"/>
  <c r="T120" i="44"/>
  <c r="S120" i="44"/>
  <c r="R120" i="44"/>
  <c r="Q120" i="44"/>
  <c r="P120" i="44"/>
  <c r="O120" i="44"/>
  <c r="N120" i="44"/>
  <c r="M120" i="44"/>
  <c r="L120" i="44"/>
  <c r="K120" i="44"/>
  <c r="J120" i="44"/>
  <c r="I120" i="44"/>
  <c r="T119" i="44"/>
  <c r="S119" i="44"/>
  <c r="R119" i="44"/>
  <c r="Q119" i="44"/>
  <c r="P119" i="44"/>
  <c r="O119" i="44"/>
  <c r="N119" i="44"/>
  <c r="M119" i="44"/>
  <c r="L119" i="44"/>
  <c r="K119" i="44"/>
  <c r="J119" i="44"/>
  <c r="I119" i="44"/>
  <c r="T118" i="44"/>
  <c r="S118" i="44"/>
  <c r="R118" i="44"/>
  <c r="Q118" i="44"/>
  <c r="P118" i="44"/>
  <c r="O118" i="44"/>
  <c r="N118" i="44"/>
  <c r="M118" i="44"/>
  <c r="L118" i="44"/>
  <c r="K118" i="44"/>
  <c r="J118" i="44"/>
  <c r="I118" i="44"/>
  <c r="T117" i="44"/>
  <c r="S117" i="44"/>
  <c r="R117" i="44"/>
  <c r="Q117" i="44"/>
  <c r="P117" i="44"/>
  <c r="O117" i="44"/>
  <c r="N117" i="44"/>
  <c r="M117" i="44"/>
  <c r="L117" i="44"/>
  <c r="K117" i="44"/>
  <c r="J117" i="44"/>
  <c r="I117" i="44"/>
  <c r="T116" i="44"/>
  <c r="S116" i="44"/>
  <c r="R116" i="44"/>
  <c r="Q116" i="44"/>
  <c r="P116" i="44"/>
  <c r="O116" i="44"/>
  <c r="N116" i="44"/>
  <c r="M116" i="44"/>
  <c r="L116" i="44"/>
  <c r="K116" i="44"/>
  <c r="J116" i="44"/>
  <c r="I116" i="44"/>
  <c r="T115" i="44"/>
  <c r="S115" i="44"/>
  <c r="R115" i="44"/>
  <c r="Q115" i="44"/>
  <c r="P115" i="44"/>
  <c r="O115" i="44"/>
  <c r="N115" i="44"/>
  <c r="M115" i="44"/>
  <c r="L115" i="44"/>
  <c r="K115" i="44"/>
  <c r="J115" i="44"/>
  <c r="I115" i="44"/>
  <c r="T114" i="44"/>
  <c r="S114" i="44"/>
  <c r="R114" i="44"/>
  <c r="Q114" i="44"/>
  <c r="P114" i="44"/>
  <c r="O114" i="44"/>
  <c r="N114" i="44"/>
  <c r="M114" i="44"/>
  <c r="L114" i="44"/>
  <c r="K114" i="44"/>
  <c r="J114" i="44"/>
  <c r="I114" i="44"/>
  <c r="T113" i="44"/>
  <c r="S113" i="44"/>
  <c r="R113" i="44"/>
  <c r="Q113" i="44"/>
  <c r="P113" i="44"/>
  <c r="O113" i="44"/>
  <c r="N113" i="44"/>
  <c r="M113" i="44"/>
  <c r="L113" i="44"/>
  <c r="K113" i="44"/>
  <c r="J113" i="44"/>
  <c r="I113" i="44"/>
  <c r="T112" i="44"/>
  <c r="S112" i="44"/>
  <c r="R112" i="44"/>
  <c r="Q112" i="44"/>
  <c r="P112" i="44"/>
  <c r="O112" i="44"/>
  <c r="N112" i="44"/>
  <c r="M112" i="44"/>
  <c r="L112" i="44"/>
  <c r="K112" i="44"/>
  <c r="J112" i="44"/>
  <c r="I112" i="44"/>
  <c r="T111" i="44"/>
  <c r="S111" i="44"/>
  <c r="R111" i="44"/>
  <c r="Q111" i="44"/>
  <c r="P111" i="44"/>
  <c r="O111" i="44"/>
  <c r="N111" i="44"/>
  <c r="M111" i="44"/>
  <c r="L111" i="44"/>
  <c r="K111" i="44"/>
  <c r="J111" i="44"/>
  <c r="I111" i="44"/>
  <c r="T110" i="44"/>
  <c r="S110" i="44"/>
  <c r="R110" i="44"/>
  <c r="Q110" i="44"/>
  <c r="P110" i="44"/>
  <c r="O110" i="44"/>
  <c r="N110" i="44"/>
  <c r="M110" i="44"/>
  <c r="L110" i="44"/>
  <c r="K110" i="44"/>
  <c r="J110" i="44"/>
  <c r="I110" i="44"/>
  <c r="T109" i="44"/>
  <c r="S109" i="44"/>
  <c r="R109" i="44"/>
  <c r="Q109" i="44"/>
  <c r="P109" i="44"/>
  <c r="O109" i="44"/>
  <c r="N109" i="44"/>
  <c r="M109" i="44"/>
  <c r="L109" i="44"/>
  <c r="K109" i="44"/>
  <c r="J109" i="44"/>
  <c r="I109" i="44"/>
  <c r="T108" i="44"/>
  <c r="S108" i="44"/>
  <c r="R108" i="44"/>
  <c r="Q108" i="44"/>
  <c r="P108" i="44"/>
  <c r="O108" i="44"/>
  <c r="N108" i="44"/>
  <c r="M108" i="44"/>
  <c r="L108" i="44"/>
  <c r="K108" i="44"/>
  <c r="J108" i="44"/>
  <c r="I108" i="44"/>
  <c r="T107" i="44"/>
  <c r="S107" i="44"/>
  <c r="R107" i="44"/>
  <c r="Q107" i="44"/>
  <c r="P107" i="44"/>
  <c r="O107" i="44"/>
  <c r="N107" i="44"/>
  <c r="M107" i="44"/>
  <c r="L107" i="44"/>
  <c r="K107" i="44"/>
  <c r="J107" i="44"/>
  <c r="I107" i="44"/>
  <c r="T106" i="44"/>
  <c r="S106" i="44"/>
  <c r="R106" i="44"/>
  <c r="Q106" i="44"/>
  <c r="P106" i="44"/>
  <c r="O106" i="44"/>
  <c r="N106" i="44"/>
  <c r="M106" i="44"/>
  <c r="L106" i="44"/>
  <c r="K106" i="44"/>
  <c r="J106" i="44"/>
  <c r="I106" i="44"/>
  <c r="T105" i="44"/>
  <c r="S105" i="44"/>
  <c r="R105" i="44"/>
  <c r="Q105" i="44"/>
  <c r="P105" i="44"/>
  <c r="O105" i="44"/>
  <c r="N105" i="44"/>
  <c r="M105" i="44"/>
  <c r="L105" i="44"/>
  <c r="K105" i="44"/>
  <c r="J105" i="44"/>
  <c r="I105" i="44"/>
  <c r="T104" i="44"/>
  <c r="S104" i="44"/>
  <c r="R104" i="44"/>
  <c r="Q104" i="44"/>
  <c r="P104" i="44"/>
  <c r="O104" i="44"/>
  <c r="N104" i="44"/>
  <c r="M104" i="44"/>
  <c r="L104" i="44"/>
  <c r="K104" i="44"/>
  <c r="J104" i="44"/>
  <c r="I104" i="44"/>
  <c r="T103" i="44"/>
  <c r="S103" i="44"/>
  <c r="R103" i="44"/>
  <c r="Q103" i="44"/>
  <c r="P103" i="44"/>
  <c r="O103" i="44"/>
  <c r="N103" i="44"/>
  <c r="M103" i="44"/>
  <c r="L103" i="44"/>
  <c r="K103" i="44"/>
  <c r="J103" i="44"/>
  <c r="I103" i="44"/>
  <c r="T102" i="44"/>
  <c r="S102" i="44"/>
  <c r="R102" i="44"/>
  <c r="Q102" i="44"/>
  <c r="P102" i="44"/>
  <c r="O102" i="44"/>
  <c r="N102" i="44"/>
  <c r="M102" i="44"/>
  <c r="L102" i="44"/>
  <c r="K102" i="44"/>
  <c r="J102" i="44"/>
  <c r="I102" i="44"/>
  <c r="T101" i="44"/>
  <c r="S101" i="44"/>
  <c r="R101" i="44"/>
  <c r="Q101" i="44"/>
  <c r="P101" i="44"/>
  <c r="O101" i="44"/>
  <c r="N101" i="44"/>
  <c r="M101" i="44"/>
  <c r="L101" i="44"/>
  <c r="K101" i="44"/>
  <c r="J101" i="44"/>
  <c r="I101" i="44"/>
  <c r="T100" i="44"/>
  <c r="S100" i="44"/>
  <c r="R100" i="44"/>
  <c r="Q100" i="44"/>
  <c r="P100" i="44"/>
  <c r="O100" i="44"/>
  <c r="N100" i="44"/>
  <c r="M100" i="44"/>
  <c r="L100" i="44"/>
  <c r="K100" i="44"/>
  <c r="J100" i="44"/>
  <c r="I100" i="44"/>
  <c r="T99" i="44"/>
  <c r="S99" i="44"/>
  <c r="R99" i="44"/>
  <c r="Q99" i="44"/>
  <c r="P99" i="44"/>
  <c r="O99" i="44"/>
  <c r="N99" i="44"/>
  <c r="M99" i="44"/>
  <c r="L99" i="44"/>
  <c r="K99" i="44"/>
  <c r="J99" i="44"/>
  <c r="I99" i="44"/>
  <c r="T98" i="44"/>
  <c r="S98" i="44"/>
  <c r="R98" i="44"/>
  <c r="Q98" i="44"/>
  <c r="P98" i="44"/>
  <c r="O98" i="44"/>
  <c r="N98" i="44"/>
  <c r="M98" i="44"/>
  <c r="L98" i="44"/>
  <c r="K98" i="44"/>
  <c r="J98" i="44"/>
  <c r="I98" i="44"/>
  <c r="T97" i="44"/>
  <c r="S97" i="44"/>
  <c r="R97" i="44"/>
  <c r="Q97" i="44"/>
  <c r="P97" i="44"/>
  <c r="O97" i="44"/>
  <c r="N97" i="44"/>
  <c r="M97" i="44"/>
  <c r="L97" i="44"/>
  <c r="K97" i="44"/>
  <c r="J97" i="44"/>
  <c r="I97" i="44"/>
  <c r="T96" i="44"/>
  <c r="S96" i="44"/>
  <c r="R96" i="44"/>
  <c r="Q96" i="44"/>
  <c r="P96" i="44"/>
  <c r="O96" i="44"/>
  <c r="N96" i="44"/>
  <c r="M96" i="44"/>
  <c r="L96" i="44"/>
  <c r="K96" i="44"/>
  <c r="J96" i="44"/>
  <c r="I96" i="44"/>
  <c r="T95" i="44"/>
  <c r="S95" i="44"/>
  <c r="R95" i="44"/>
  <c r="Q95" i="44"/>
  <c r="P95" i="44"/>
  <c r="O95" i="44"/>
  <c r="N95" i="44"/>
  <c r="M95" i="44"/>
  <c r="L95" i="44"/>
  <c r="K95" i="44"/>
  <c r="J95" i="44"/>
  <c r="I95" i="44"/>
  <c r="T94" i="44"/>
  <c r="S94" i="44"/>
  <c r="R94" i="44"/>
  <c r="Q94" i="44"/>
  <c r="P94" i="44"/>
  <c r="O94" i="44"/>
  <c r="N94" i="44"/>
  <c r="M94" i="44"/>
  <c r="L94" i="44"/>
  <c r="K94" i="44"/>
  <c r="J94" i="44"/>
  <c r="I94" i="44"/>
  <c r="C89" i="44"/>
  <c r="T87" i="44"/>
  <c r="S87" i="44"/>
  <c r="R87" i="44"/>
  <c r="Q87" i="44"/>
  <c r="P87" i="44"/>
  <c r="O87" i="44"/>
  <c r="N87" i="44"/>
  <c r="M87" i="44"/>
  <c r="L87" i="44"/>
  <c r="K87" i="44"/>
  <c r="J87" i="44"/>
  <c r="I87" i="44"/>
  <c r="T86" i="44"/>
  <c r="S86" i="44"/>
  <c r="R86" i="44"/>
  <c r="Q86" i="44"/>
  <c r="P86" i="44"/>
  <c r="O86" i="44"/>
  <c r="N86" i="44"/>
  <c r="M86" i="44"/>
  <c r="L86" i="44"/>
  <c r="K86" i="44"/>
  <c r="J86" i="44"/>
  <c r="I86" i="44"/>
  <c r="T85" i="44"/>
  <c r="S85" i="44"/>
  <c r="R85" i="44"/>
  <c r="Q85" i="44"/>
  <c r="P85" i="44"/>
  <c r="O85" i="44"/>
  <c r="N85" i="44"/>
  <c r="M85" i="44"/>
  <c r="L85" i="44"/>
  <c r="K85" i="44"/>
  <c r="J85" i="44"/>
  <c r="I85" i="44"/>
  <c r="T84" i="44"/>
  <c r="S84" i="44"/>
  <c r="R84" i="44"/>
  <c r="Q84" i="44"/>
  <c r="P84" i="44"/>
  <c r="O84" i="44"/>
  <c r="N84" i="44"/>
  <c r="M84" i="44"/>
  <c r="L84" i="44"/>
  <c r="K84" i="44"/>
  <c r="J84" i="44"/>
  <c r="I84" i="44"/>
  <c r="T83" i="44"/>
  <c r="S83" i="44"/>
  <c r="R83" i="44"/>
  <c r="Q83" i="44"/>
  <c r="P83" i="44"/>
  <c r="O83" i="44"/>
  <c r="N83" i="44"/>
  <c r="M83" i="44"/>
  <c r="L83" i="44"/>
  <c r="K83" i="44"/>
  <c r="J83" i="44"/>
  <c r="I83" i="44"/>
  <c r="T82" i="44"/>
  <c r="S82" i="44"/>
  <c r="R82" i="44"/>
  <c r="Q82" i="44"/>
  <c r="P82" i="44"/>
  <c r="O82" i="44"/>
  <c r="N82" i="44"/>
  <c r="M82" i="44"/>
  <c r="L82" i="44"/>
  <c r="K82" i="44"/>
  <c r="J82" i="44"/>
  <c r="I82" i="44"/>
  <c r="T81" i="44"/>
  <c r="S81" i="44"/>
  <c r="R81" i="44"/>
  <c r="Q81" i="44"/>
  <c r="P81" i="44"/>
  <c r="O81" i="44"/>
  <c r="N81" i="44"/>
  <c r="M81" i="44"/>
  <c r="L81" i="44"/>
  <c r="K81" i="44"/>
  <c r="J81" i="44"/>
  <c r="I81" i="44"/>
  <c r="T80" i="44"/>
  <c r="S80" i="44"/>
  <c r="R80" i="44"/>
  <c r="Q80" i="44"/>
  <c r="P80" i="44"/>
  <c r="O80" i="44"/>
  <c r="N80" i="44"/>
  <c r="M80" i="44"/>
  <c r="L80" i="44"/>
  <c r="K80" i="44"/>
  <c r="J80" i="44"/>
  <c r="I80" i="44"/>
  <c r="T79" i="44"/>
  <c r="G151" i="44" s="1"/>
  <c r="S79" i="44"/>
  <c r="R79" i="44"/>
  <c r="Q79" i="44"/>
  <c r="P79" i="44"/>
  <c r="O79" i="44"/>
  <c r="N79" i="44"/>
  <c r="M79" i="44"/>
  <c r="L79" i="44"/>
  <c r="K79" i="44"/>
  <c r="J79" i="44"/>
  <c r="I79" i="44"/>
  <c r="T78" i="44"/>
  <c r="S78" i="44"/>
  <c r="R78" i="44"/>
  <c r="Q78" i="44"/>
  <c r="P78" i="44"/>
  <c r="O78" i="44"/>
  <c r="N78" i="44"/>
  <c r="M78" i="44"/>
  <c r="L78" i="44"/>
  <c r="K78" i="44"/>
  <c r="J78" i="44"/>
  <c r="I78" i="44"/>
  <c r="T77" i="44"/>
  <c r="S77" i="44"/>
  <c r="R77" i="44"/>
  <c r="Q77" i="44"/>
  <c r="P77" i="44"/>
  <c r="O77" i="44"/>
  <c r="N77" i="44"/>
  <c r="M77" i="44"/>
  <c r="L77" i="44"/>
  <c r="K77" i="44"/>
  <c r="J77" i="44"/>
  <c r="I77" i="44"/>
  <c r="C72" i="44"/>
  <c r="T70" i="44"/>
  <c r="S70" i="44"/>
  <c r="R70" i="44"/>
  <c r="Q70" i="44"/>
  <c r="P70" i="44"/>
  <c r="O70" i="44"/>
  <c r="N70" i="44"/>
  <c r="M70" i="44"/>
  <c r="L70" i="44"/>
  <c r="K70" i="44"/>
  <c r="J70" i="44"/>
  <c r="I70" i="44"/>
  <c r="T69" i="44"/>
  <c r="S69" i="44"/>
  <c r="R69" i="44"/>
  <c r="Q69" i="44"/>
  <c r="P69" i="44"/>
  <c r="O69" i="44"/>
  <c r="N69" i="44"/>
  <c r="M69" i="44"/>
  <c r="L69" i="44"/>
  <c r="K69" i="44"/>
  <c r="J69" i="44"/>
  <c r="I69" i="44"/>
  <c r="T68" i="44"/>
  <c r="S68" i="44"/>
  <c r="R68" i="44"/>
  <c r="Q68" i="44"/>
  <c r="P68" i="44"/>
  <c r="O68" i="44"/>
  <c r="N68" i="44"/>
  <c r="M68" i="44"/>
  <c r="L68" i="44"/>
  <c r="K68" i="44"/>
  <c r="J68" i="44"/>
  <c r="I68" i="44"/>
  <c r="T67" i="44"/>
  <c r="S67" i="44"/>
  <c r="R67" i="44"/>
  <c r="Q67" i="44"/>
  <c r="P67" i="44"/>
  <c r="O67" i="44"/>
  <c r="N67" i="44"/>
  <c r="M67" i="44"/>
  <c r="L67" i="44"/>
  <c r="K67" i="44"/>
  <c r="J67" i="44"/>
  <c r="I67" i="44"/>
  <c r="T66" i="44"/>
  <c r="S66" i="44"/>
  <c r="R66" i="44"/>
  <c r="Q66" i="44"/>
  <c r="P66" i="44"/>
  <c r="O66" i="44"/>
  <c r="N66" i="44"/>
  <c r="M66" i="44"/>
  <c r="L66" i="44"/>
  <c r="K66" i="44"/>
  <c r="J66" i="44"/>
  <c r="I66" i="44"/>
  <c r="T65" i="44"/>
  <c r="S65" i="44"/>
  <c r="R65" i="44"/>
  <c r="Q65" i="44"/>
  <c r="P65" i="44"/>
  <c r="O65" i="44"/>
  <c r="N65" i="44"/>
  <c r="M65" i="44"/>
  <c r="L65" i="44"/>
  <c r="K65" i="44"/>
  <c r="J65" i="44"/>
  <c r="I65" i="44"/>
  <c r="T64" i="44"/>
  <c r="S64" i="44"/>
  <c r="R64" i="44"/>
  <c r="Q64" i="44"/>
  <c r="P64" i="44"/>
  <c r="O64" i="44"/>
  <c r="N64" i="44"/>
  <c r="M64" i="44"/>
  <c r="L64" i="44"/>
  <c r="K64" i="44"/>
  <c r="J64" i="44"/>
  <c r="I64" i="44"/>
  <c r="T63" i="44"/>
  <c r="S63" i="44"/>
  <c r="R63" i="44"/>
  <c r="Q63" i="44"/>
  <c r="P63" i="44"/>
  <c r="O63" i="44"/>
  <c r="N63" i="44"/>
  <c r="M63" i="44"/>
  <c r="L63" i="44"/>
  <c r="K63" i="44"/>
  <c r="J63" i="44"/>
  <c r="I63" i="44"/>
  <c r="T62" i="44"/>
  <c r="S62" i="44"/>
  <c r="R62" i="44"/>
  <c r="Q62" i="44"/>
  <c r="P62" i="44"/>
  <c r="O62" i="44"/>
  <c r="N62" i="44"/>
  <c r="M62" i="44"/>
  <c r="L62" i="44"/>
  <c r="K62" i="44"/>
  <c r="J62" i="44"/>
  <c r="I62" i="44"/>
  <c r="T61" i="44"/>
  <c r="S61" i="44"/>
  <c r="R61" i="44"/>
  <c r="Q61" i="44"/>
  <c r="P61" i="44"/>
  <c r="O61" i="44"/>
  <c r="N61" i="44"/>
  <c r="M61" i="44"/>
  <c r="L61" i="44"/>
  <c r="K61" i="44"/>
  <c r="J61" i="44"/>
  <c r="I61" i="44"/>
  <c r="T60" i="44"/>
  <c r="S60" i="44"/>
  <c r="R60" i="44"/>
  <c r="Q60" i="44"/>
  <c r="P60" i="44"/>
  <c r="O60" i="44"/>
  <c r="N60" i="44"/>
  <c r="M60" i="44"/>
  <c r="L60" i="44"/>
  <c r="K60" i="44"/>
  <c r="J60" i="44"/>
  <c r="I60" i="44"/>
  <c r="T59" i="44"/>
  <c r="S59" i="44"/>
  <c r="R59" i="44"/>
  <c r="Q59" i="44"/>
  <c r="P59" i="44"/>
  <c r="O59" i="44"/>
  <c r="N59" i="44"/>
  <c r="M59" i="44"/>
  <c r="L59" i="44"/>
  <c r="K59" i="44"/>
  <c r="J59" i="44"/>
  <c r="I59" i="44"/>
  <c r="T58" i="44"/>
  <c r="S58" i="44"/>
  <c r="R58" i="44"/>
  <c r="Q58" i="44"/>
  <c r="P58" i="44"/>
  <c r="O58" i="44"/>
  <c r="N58" i="44"/>
  <c r="M58" i="44"/>
  <c r="L58" i="44"/>
  <c r="K58" i="44"/>
  <c r="J58" i="44"/>
  <c r="I58" i="44"/>
  <c r="T57" i="44"/>
  <c r="S57" i="44"/>
  <c r="R57" i="44"/>
  <c r="Q57" i="44"/>
  <c r="P57" i="44"/>
  <c r="O57" i="44"/>
  <c r="N57" i="44"/>
  <c r="M57" i="44"/>
  <c r="L57" i="44"/>
  <c r="K57" i="44"/>
  <c r="J57" i="44"/>
  <c r="I57" i="44"/>
  <c r="C52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C44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C36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T9" i="44"/>
  <c r="S9" i="44"/>
  <c r="R9" i="44"/>
  <c r="Q9" i="44"/>
  <c r="P9" i="44"/>
  <c r="O9" i="44"/>
  <c r="N9" i="44"/>
  <c r="M9" i="44"/>
  <c r="L9" i="44"/>
  <c r="K9" i="44"/>
  <c r="J9" i="44"/>
  <c r="I9" i="44"/>
  <c r="A1" i="44"/>
  <c r="B35" i="43"/>
  <c r="B36" i="43" s="1"/>
  <c r="B28" i="43"/>
  <c r="M46" i="42"/>
  <c r="L46" i="42"/>
  <c r="K46" i="42"/>
  <c r="J46" i="42"/>
  <c r="I46" i="42"/>
  <c r="H46" i="42"/>
  <c r="G46" i="42"/>
  <c r="F46" i="42"/>
  <c r="E46" i="42"/>
  <c r="D46" i="42"/>
  <c r="C46" i="42"/>
  <c r="B46" i="42"/>
  <c r="M38" i="42"/>
  <c r="Q38" i="42" s="1"/>
  <c r="L38" i="42"/>
  <c r="K38" i="42"/>
  <c r="J38" i="42"/>
  <c r="I38" i="42"/>
  <c r="H38" i="42"/>
  <c r="G38" i="42"/>
  <c r="F38" i="42"/>
  <c r="E38" i="42"/>
  <c r="D38" i="42"/>
  <c r="C38" i="42"/>
  <c r="B38" i="42"/>
  <c r="F30" i="42"/>
  <c r="C30" i="42"/>
  <c r="M30" i="42"/>
  <c r="L30" i="42"/>
  <c r="K30" i="42"/>
  <c r="J30" i="42"/>
  <c r="I30" i="42"/>
  <c r="H30" i="42"/>
  <c r="G30" i="42"/>
  <c r="E30" i="42"/>
  <c r="D30" i="42"/>
  <c r="N30" i="42"/>
  <c r="AA130" i="7"/>
  <c r="N130" i="7"/>
  <c r="BA133" i="37"/>
  <c r="BB133" i="37" s="1"/>
  <c r="AA133" i="37"/>
  <c r="AN133" i="37" s="1"/>
  <c r="T65" i="37" l="1"/>
  <c r="R65" i="37"/>
  <c r="Q65" i="37"/>
  <c r="Q44" i="44"/>
  <c r="U65" i="37"/>
  <c r="S65" i="37"/>
  <c r="X56" i="37"/>
  <c r="W56" i="37"/>
  <c r="V56" i="37"/>
  <c r="S56" i="37"/>
  <c r="Z65" i="37"/>
  <c r="AF65" i="37" s="1"/>
  <c r="Y65" i="37"/>
  <c r="X65" i="37"/>
  <c r="W65" i="37"/>
  <c r="V65" i="37"/>
  <c r="AJ65" i="37"/>
  <c r="U56" i="37"/>
  <c r="T56" i="37"/>
  <c r="R56" i="37"/>
  <c r="Q56" i="37"/>
  <c r="P56" i="37"/>
  <c r="P65" i="37"/>
  <c r="Z56" i="37"/>
  <c r="Q46" i="42"/>
  <c r="Q245" i="44"/>
  <c r="J37" i="37" s="1"/>
  <c r="G339" i="44"/>
  <c r="G150" i="44"/>
  <c r="AA60" i="7"/>
  <c r="AB60" i="7" s="1"/>
  <c r="AC60" i="7" s="1"/>
  <c r="AD60" i="7" s="1"/>
  <c r="N65" i="37"/>
  <c r="G148" i="44"/>
  <c r="G338" i="44"/>
  <c r="O245" i="44"/>
  <c r="H37" i="37" s="1"/>
  <c r="I245" i="44"/>
  <c r="B37" i="37" s="1"/>
  <c r="L245" i="44"/>
  <c r="E37" i="37" s="1"/>
  <c r="S245" i="44"/>
  <c r="L37" i="37" s="1"/>
  <c r="T245" i="44"/>
  <c r="M37" i="37" s="1"/>
  <c r="K245" i="44"/>
  <c r="D37" i="37" s="1"/>
  <c r="N245" i="44"/>
  <c r="G37" i="37" s="1"/>
  <c r="R245" i="44"/>
  <c r="K37" i="37" s="1"/>
  <c r="J245" i="44"/>
  <c r="C37" i="37" s="1"/>
  <c r="M245" i="44"/>
  <c r="F37" i="37" s="1"/>
  <c r="P245" i="44"/>
  <c r="I37" i="37" s="1"/>
  <c r="L45" i="44"/>
  <c r="J241" i="44"/>
  <c r="P303" i="44"/>
  <c r="I193" i="44"/>
  <c r="Q279" i="44"/>
  <c r="P227" i="44"/>
  <c r="M329" i="44"/>
  <c r="M52" i="44"/>
  <c r="U66" i="44"/>
  <c r="P53" i="44"/>
  <c r="I303" i="44"/>
  <c r="L185" i="44"/>
  <c r="S194" i="44"/>
  <c r="N45" i="44"/>
  <c r="K295" i="44"/>
  <c r="R304" i="44"/>
  <c r="K45" i="44"/>
  <c r="R279" i="44"/>
  <c r="U50" i="44"/>
  <c r="U265" i="44"/>
  <c r="N240" i="44"/>
  <c r="O45" i="44"/>
  <c r="U9" i="44"/>
  <c r="Q36" i="44"/>
  <c r="L303" i="44"/>
  <c r="M193" i="44"/>
  <c r="O186" i="44"/>
  <c r="Q240" i="44"/>
  <c r="R44" i="44"/>
  <c r="O193" i="44"/>
  <c r="T210" i="44"/>
  <c r="K227" i="44"/>
  <c r="T295" i="44"/>
  <c r="P194" i="44"/>
  <c r="N278" i="44"/>
  <c r="L52" i="44"/>
  <c r="U326" i="44"/>
  <c r="U216" i="44"/>
  <c r="F252" i="44" s="1"/>
  <c r="T37" i="44"/>
  <c r="J53" i="44"/>
  <c r="U105" i="44"/>
  <c r="I186" i="44"/>
  <c r="T193" i="44"/>
  <c r="K52" i="44"/>
  <c r="K279" i="44"/>
  <c r="S44" i="44"/>
  <c r="T279" i="44"/>
  <c r="U224" i="44"/>
  <c r="U21" i="44"/>
  <c r="I52" i="44"/>
  <c r="U20" i="44"/>
  <c r="U310" i="44"/>
  <c r="M317" i="44"/>
  <c r="U128" i="44"/>
  <c r="M270" i="44"/>
  <c r="U264" i="44"/>
  <c r="P36" i="44"/>
  <c r="S316" i="44"/>
  <c r="U324" i="44"/>
  <c r="O185" i="44"/>
  <c r="J194" i="44"/>
  <c r="R226" i="44"/>
  <c r="J226" i="44"/>
  <c r="U15" i="44"/>
  <c r="S72" i="44"/>
  <c r="U60" i="44"/>
  <c r="U81" i="44"/>
  <c r="S330" i="44"/>
  <c r="S334" i="44" s="1"/>
  <c r="U171" i="44"/>
  <c r="P186" i="44"/>
  <c r="S193" i="44"/>
  <c r="N53" i="44"/>
  <c r="O52" i="44"/>
  <c r="Q329" i="44"/>
  <c r="R185" i="44"/>
  <c r="L90" i="44"/>
  <c r="J269" i="44"/>
  <c r="L278" i="44"/>
  <c r="T278" i="44"/>
  <c r="N295" i="44"/>
  <c r="S329" i="44"/>
  <c r="U31" i="44"/>
  <c r="M45" i="44"/>
  <c r="N52" i="44"/>
  <c r="N279" i="44"/>
  <c r="O303" i="44"/>
  <c r="I316" i="44"/>
  <c r="T329" i="44"/>
  <c r="U163" i="44"/>
  <c r="N44" i="44"/>
  <c r="I73" i="44"/>
  <c r="U58" i="44"/>
  <c r="U65" i="44"/>
  <c r="K89" i="44"/>
  <c r="O279" i="44"/>
  <c r="N316" i="44"/>
  <c r="I194" i="44"/>
  <c r="U17" i="44"/>
  <c r="Q45" i="44"/>
  <c r="I53" i="44"/>
  <c r="N90" i="44"/>
  <c r="U86" i="44"/>
  <c r="S270" i="44"/>
  <c r="M278" i="44"/>
  <c r="C331" i="44"/>
  <c r="U283" i="44"/>
  <c r="R303" i="44"/>
  <c r="S186" i="44"/>
  <c r="U190" i="44"/>
  <c r="M210" i="44"/>
  <c r="O241" i="44"/>
  <c r="O240" i="44"/>
  <c r="P44" i="44"/>
  <c r="S45" i="44"/>
  <c r="U63" i="44"/>
  <c r="U78" i="44"/>
  <c r="U80" i="44"/>
  <c r="K278" i="44"/>
  <c r="O294" i="44"/>
  <c r="S303" i="44"/>
  <c r="L304" i="44"/>
  <c r="I317" i="44"/>
  <c r="L316" i="44"/>
  <c r="U323" i="44"/>
  <c r="R186" i="44"/>
  <c r="U201" i="44"/>
  <c r="Q226" i="44"/>
  <c r="L53" i="44"/>
  <c r="U95" i="44"/>
  <c r="U126" i="44"/>
  <c r="Q270" i="44"/>
  <c r="U261" i="44"/>
  <c r="U266" i="44"/>
  <c r="O304" i="44"/>
  <c r="K329" i="44"/>
  <c r="U219" i="44"/>
  <c r="U13" i="44"/>
  <c r="U33" i="44"/>
  <c r="R45" i="44"/>
  <c r="J52" i="44"/>
  <c r="U125" i="44"/>
  <c r="O278" i="44"/>
  <c r="Q294" i="44"/>
  <c r="U285" i="44"/>
  <c r="Q295" i="44"/>
  <c r="N317" i="44"/>
  <c r="U325" i="44"/>
  <c r="R241" i="44"/>
  <c r="R240" i="44"/>
  <c r="U234" i="44"/>
  <c r="U238" i="44"/>
  <c r="M53" i="44"/>
  <c r="U62" i="44"/>
  <c r="U12" i="44"/>
  <c r="U16" i="44"/>
  <c r="O44" i="44"/>
  <c r="K90" i="44"/>
  <c r="U120" i="44"/>
  <c r="U124" i="44"/>
  <c r="U276" i="44"/>
  <c r="Q278" i="44"/>
  <c r="R295" i="44"/>
  <c r="R294" i="44"/>
  <c r="S304" i="44"/>
  <c r="C242" i="44"/>
  <c r="U199" i="44"/>
  <c r="U200" i="44"/>
  <c r="U202" i="44"/>
  <c r="S240" i="44"/>
  <c r="K294" i="44"/>
  <c r="M316" i="44"/>
  <c r="P316" i="44"/>
  <c r="S317" i="44"/>
  <c r="U164" i="44"/>
  <c r="K226" i="44"/>
  <c r="T240" i="44"/>
  <c r="L241" i="44"/>
  <c r="G252" i="44"/>
  <c r="U29" i="44"/>
  <c r="J317" i="44"/>
  <c r="U11" i="44"/>
  <c r="U28" i="44"/>
  <c r="U32" i="44"/>
  <c r="K44" i="44"/>
  <c r="U84" i="44"/>
  <c r="U99" i="44"/>
  <c r="U112" i="44"/>
  <c r="U299" i="44"/>
  <c r="P330" i="44"/>
  <c r="P334" i="44" s="1"/>
  <c r="J185" i="44"/>
  <c r="I185" i="44"/>
  <c r="L193" i="44"/>
  <c r="P193" i="44"/>
  <c r="O89" i="44"/>
  <c r="N141" i="44"/>
  <c r="U111" i="44"/>
  <c r="U127" i="44"/>
  <c r="U313" i="44"/>
  <c r="M330" i="44"/>
  <c r="M334" i="44" s="1"/>
  <c r="U162" i="44"/>
  <c r="N178" i="44"/>
  <c r="Q227" i="44"/>
  <c r="U61" i="44"/>
  <c r="T44" i="44"/>
  <c r="P52" i="44"/>
  <c r="T52" i="44"/>
  <c r="P89" i="44"/>
  <c r="L89" i="44"/>
  <c r="K141" i="44"/>
  <c r="U119" i="44"/>
  <c r="T269" i="44"/>
  <c r="J329" i="44"/>
  <c r="U170" i="44"/>
  <c r="L186" i="44"/>
  <c r="N209" i="44"/>
  <c r="L44" i="44"/>
  <c r="N73" i="44"/>
  <c r="Q89" i="44"/>
  <c r="O90" i="44"/>
  <c r="Q269" i="44"/>
  <c r="M185" i="44"/>
  <c r="P185" i="44"/>
  <c r="J227" i="44"/>
  <c r="U218" i="44"/>
  <c r="U231" i="44"/>
  <c r="U10" i="44"/>
  <c r="U14" i="44"/>
  <c r="U64" i="44"/>
  <c r="R89" i="44"/>
  <c r="U79" i="44"/>
  <c r="F151" i="44" s="1"/>
  <c r="T270" i="44"/>
  <c r="I294" i="44"/>
  <c r="M294" i="44"/>
  <c r="U288" i="44"/>
  <c r="U291" i="44"/>
  <c r="T330" i="44"/>
  <c r="T334" i="44" s="1"/>
  <c r="R177" i="44"/>
  <c r="U165" i="44"/>
  <c r="U235" i="44"/>
  <c r="O72" i="44"/>
  <c r="U23" i="44"/>
  <c r="S37" i="44"/>
  <c r="S52" i="44"/>
  <c r="P72" i="44"/>
  <c r="U94" i="44"/>
  <c r="U106" i="44"/>
  <c r="U122" i="44"/>
  <c r="U274" i="44"/>
  <c r="J294" i="44"/>
  <c r="N303" i="44"/>
  <c r="U205" i="44"/>
  <c r="K240" i="44"/>
  <c r="I72" i="44"/>
  <c r="K140" i="44"/>
  <c r="U98" i="44"/>
  <c r="O141" i="44"/>
  <c r="U110" i="44"/>
  <c r="U115" i="44"/>
  <c r="U134" i="44"/>
  <c r="U138" i="44"/>
  <c r="U309" i="44"/>
  <c r="U311" i="44"/>
  <c r="J316" i="44"/>
  <c r="U203" i="44"/>
  <c r="U207" i="44"/>
  <c r="M226" i="44"/>
  <c r="T226" i="44"/>
  <c r="K241" i="44"/>
  <c r="U22" i="44"/>
  <c r="U26" i="44"/>
  <c r="U30" i="44"/>
  <c r="U41" i="44"/>
  <c r="R72" i="44"/>
  <c r="N72" i="44"/>
  <c r="U131" i="44"/>
  <c r="P304" i="44"/>
  <c r="M178" i="44"/>
  <c r="M194" i="44"/>
  <c r="T209" i="44"/>
  <c r="S210" i="44"/>
  <c r="N227" i="44"/>
  <c r="M227" i="44"/>
  <c r="U236" i="44"/>
  <c r="P46" i="42"/>
  <c r="S46" i="42"/>
  <c r="X46" i="42"/>
  <c r="Y46" i="42"/>
  <c r="B40" i="42"/>
  <c r="J40" i="42"/>
  <c r="O38" i="42"/>
  <c r="P38" i="42"/>
  <c r="L40" i="42"/>
  <c r="R38" i="42"/>
  <c r="R46" i="42"/>
  <c r="B30" i="42"/>
  <c r="V46" i="42"/>
  <c r="D40" i="42"/>
  <c r="S38" i="42"/>
  <c r="I40" i="42"/>
  <c r="T38" i="42"/>
  <c r="U38" i="42"/>
  <c r="V38" i="42"/>
  <c r="Y38" i="42"/>
  <c r="U46" i="42"/>
  <c r="N46" i="42"/>
  <c r="G40" i="42"/>
  <c r="H40" i="42"/>
  <c r="K40" i="42"/>
  <c r="M72" i="44"/>
  <c r="M73" i="44"/>
  <c r="Q52" i="44"/>
  <c r="Q53" i="44"/>
  <c r="P30" i="42"/>
  <c r="Q30" i="42"/>
  <c r="U18" i="44"/>
  <c r="T53" i="44"/>
  <c r="Q72" i="44"/>
  <c r="S89" i="44"/>
  <c r="U87" i="44"/>
  <c r="R30" i="42"/>
  <c r="Q73" i="44"/>
  <c r="U68" i="44"/>
  <c r="T89" i="44"/>
  <c r="R52" i="44"/>
  <c r="R53" i="44"/>
  <c r="S30" i="42"/>
  <c r="M40" i="42"/>
  <c r="J44" i="44"/>
  <c r="K73" i="44"/>
  <c r="U83" i="44"/>
  <c r="U103" i="44"/>
  <c r="T30" i="42"/>
  <c r="U25" i="44"/>
  <c r="U34" i="44"/>
  <c r="T73" i="44"/>
  <c r="U67" i="44"/>
  <c r="U30" i="42"/>
  <c r="M36" i="44"/>
  <c r="U82" i="44"/>
  <c r="J209" i="44"/>
  <c r="V30" i="42"/>
  <c r="I44" i="44"/>
  <c r="U42" i="44"/>
  <c r="W30" i="42"/>
  <c r="N36" i="44"/>
  <c r="I89" i="44"/>
  <c r="U97" i="44"/>
  <c r="X30" i="42"/>
  <c r="P37" i="44"/>
  <c r="U24" i="44"/>
  <c r="U70" i="44"/>
  <c r="J89" i="44"/>
  <c r="Y30" i="42"/>
  <c r="C40" i="42"/>
  <c r="U85" i="44"/>
  <c r="Z30" i="42"/>
  <c r="N38" i="42"/>
  <c r="R36" i="44"/>
  <c r="U57" i="44"/>
  <c r="P90" i="44"/>
  <c r="Q140" i="44"/>
  <c r="Q141" i="44"/>
  <c r="K178" i="44"/>
  <c r="E40" i="42"/>
  <c r="S36" i="44"/>
  <c r="U19" i="44"/>
  <c r="K72" i="44"/>
  <c r="M90" i="44"/>
  <c r="R140" i="44"/>
  <c r="R141" i="44"/>
  <c r="U104" i="44"/>
  <c r="U109" i="44"/>
  <c r="P270" i="44"/>
  <c r="P269" i="44"/>
  <c r="F40" i="42"/>
  <c r="T36" i="44"/>
  <c r="U27" i="44"/>
  <c r="L72" i="44"/>
  <c r="L73" i="44"/>
  <c r="T72" i="44"/>
  <c r="U69" i="44"/>
  <c r="N89" i="44"/>
  <c r="U108" i="44"/>
  <c r="T46" i="42"/>
  <c r="M44" i="44"/>
  <c r="P45" i="44"/>
  <c r="K53" i="44"/>
  <c r="J73" i="44"/>
  <c r="M89" i="44"/>
  <c r="S140" i="44"/>
  <c r="S141" i="44"/>
  <c r="U101" i="44"/>
  <c r="U133" i="44"/>
  <c r="U137" i="44"/>
  <c r="R270" i="44"/>
  <c r="J278" i="44"/>
  <c r="U287" i="44"/>
  <c r="K317" i="44"/>
  <c r="Q317" i="44"/>
  <c r="L329" i="44"/>
  <c r="L330" i="44"/>
  <c r="L334" i="44" s="1"/>
  <c r="I226" i="44"/>
  <c r="U214" i="44"/>
  <c r="I227" i="44"/>
  <c r="U59" i="44"/>
  <c r="Q90" i="44"/>
  <c r="T140" i="44"/>
  <c r="T141" i="44"/>
  <c r="U129" i="44"/>
  <c r="S269" i="44"/>
  <c r="L294" i="44"/>
  <c r="J303" i="44"/>
  <c r="I178" i="44"/>
  <c r="U161" i="44"/>
  <c r="U174" i="44"/>
  <c r="I209" i="44"/>
  <c r="I210" i="44" s="1"/>
  <c r="U49" i="44"/>
  <c r="R90" i="44"/>
  <c r="M295" i="44"/>
  <c r="K303" i="44"/>
  <c r="N329" i="44"/>
  <c r="J178" i="44"/>
  <c r="U172" i="44"/>
  <c r="I177" i="44"/>
  <c r="K194" i="44"/>
  <c r="K193" i="44"/>
  <c r="R193" i="44"/>
  <c r="R194" i="44"/>
  <c r="J210" i="44"/>
  <c r="U220" i="44"/>
  <c r="U222" i="44"/>
  <c r="W38" i="42"/>
  <c r="W46" i="42"/>
  <c r="J72" i="44"/>
  <c r="S90" i="44"/>
  <c r="U123" i="44"/>
  <c r="U260" i="44"/>
  <c r="U286" i="44"/>
  <c r="U290" i="44"/>
  <c r="U312" i="44"/>
  <c r="O329" i="44"/>
  <c r="O330" i="44"/>
  <c r="O334" i="44" s="1"/>
  <c r="K209" i="44"/>
  <c r="L227" i="44"/>
  <c r="X38" i="42"/>
  <c r="T45" i="44"/>
  <c r="T145" i="44" s="1"/>
  <c r="M33" i="7" s="1"/>
  <c r="W33" i="7" s="1"/>
  <c r="O53" i="44"/>
  <c r="T90" i="44"/>
  <c r="U100" i="44"/>
  <c r="U132" i="44"/>
  <c r="R269" i="44"/>
  <c r="M303" i="44"/>
  <c r="O316" i="44"/>
  <c r="O317" i="44"/>
  <c r="L178" i="44"/>
  <c r="L177" i="44"/>
  <c r="N185" i="44"/>
  <c r="N186" i="44"/>
  <c r="L209" i="44"/>
  <c r="L210" i="44"/>
  <c r="U198" i="44"/>
  <c r="P210" i="44"/>
  <c r="J37" i="44"/>
  <c r="O73" i="44"/>
  <c r="U118" i="44"/>
  <c r="P294" i="44"/>
  <c r="U167" i="44"/>
  <c r="U169" i="44"/>
  <c r="N193" i="44"/>
  <c r="U204" i="44"/>
  <c r="U233" i="44"/>
  <c r="Z38" i="42"/>
  <c r="Z46" i="42"/>
  <c r="C142" i="44"/>
  <c r="K37" i="44"/>
  <c r="P73" i="44"/>
  <c r="I140" i="44"/>
  <c r="I141" i="44"/>
  <c r="U114" i="44"/>
  <c r="P279" i="44"/>
  <c r="P278" i="44"/>
  <c r="Q316" i="44"/>
  <c r="R329" i="44"/>
  <c r="P329" i="44"/>
  <c r="N210" i="44"/>
  <c r="U206" i="44"/>
  <c r="O227" i="44"/>
  <c r="U237" i="44"/>
  <c r="I36" i="44"/>
  <c r="L37" i="44"/>
  <c r="J140" i="44"/>
  <c r="J141" i="44"/>
  <c r="U259" i="44"/>
  <c r="U289" i="44"/>
  <c r="R316" i="44"/>
  <c r="R317" i="44"/>
  <c r="K330" i="44"/>
  <c r="K334" i="44" s="1"/>
  <c r="O177" i="44"/>
  <c r="Q186" i="44"/>
  <c r="Q185" i="44"/>
  <c r="O210" i="44"/>
  <c r="O209" i="44"/>
  <c r="P226" i="44"/>
  <c r="L240" i="44"/>
  <c r="J36" i="44"/>
  <c r="M37" i="44"/>
  <c r="S53" i="44"/>
  <c r="S145" i="44" s="1"/>
  <c r="L33" i="7" s="1"/>
  <c r="R73" i="44"/>
  <c r="U77" i="44"/>
  <c r="U136" i="44"/>
  <c r="J270" i="44"/>
  <c r="M269" i="44"/>
  <c r="S295" i="44"/>
  <c r="Q304" i="44"/>
  <c r="Q303" i="44"/>
  <c r="U301" i="44"/>
  <c r="P177" i="44"/>
  <c r="P178" i="44"/>
  <c r="U183" i="44"/>
  <c r="Q193" i="44"/>
  <c r="P209" i="44"/>
  <c r="U215" i="44"/>
  <c r="M240" i="44"/>
  <c r="K36" i="44"/>
  <c r="N37" i="44"/>
  <c r="I45" i="44"/>
  <c r="S73" i="44"/>
  <c r="I90" i="44"/>
  <c r="L141" i="44"/>
  <c r="U117" i="44"/>
  <c r="U135" i="44"/>
  <c r="K269" i="44"/>
  <c r="O269" i="44"/>
  <c r="S278" i="44"/>
  <c r="S279" i="44"/>
  <c r="T294" i="44"/>
  <c r="S294" i="44"/>
  <c r="N294" i="44"/>
  <c r="T316" i="44"/>
  <c r="U173" i="44"/>
  <c r="U175" i="44"/>
  <c r="Q210" i="44"/>
  <c r="L36" i="44"/>
  <c r="O37" i="44"/>
  <c r="J45" i="44"/>
  <c r="J90" i="44"/>
  <c r="M141" i="44"/>
  <c r="M140" i="44"/>
  <c r="U113" i="44"/>
  <c r="L140" i="44"/>
  <c r="L269" i="44"/>
  <c r="U263" i="44"/>
  <c r="U308" i="44"/>
  <c r="U314" i="44"/>
  <c r="U327" i="44"/>
  <c r="O178" i="44"/>
  <c r="T186" i="44"/>
  <c r="T185" i="44"/>
  <c r="K185" i="44"/>
  <c r="K186" i="44"/>
  <c r="R210" i="44"/>
  <c r="R209" i="44"/>
  <c r="M209" i="44"/>
  <c r="S226" i="44"/>
  <c r="U221" i="44"/>
  <c r="U223" i="44"/>
  <c r="O46" i="42"/>
  <c r="N140" i="44"/>
  <c r="U107" i="44"/>
  <c r="U121" i="44"/>
  <c r="U262" i="44"/>
  <c r="U275" i="44"/>
  <c r="U284" i="44"/>
  <c r="U292" i="44"/>
  <c r="T303" i="44"/>
  <c r="T304" i="44"/>
  <c r="L317" i="44"/>
  <c r="U182" i="44"/>
  <c r="U191" i="44"/>
  <c r="L194" i="44"/>
  <c r="S209" i="44"/>
  <c r="T227" i="44"/>
  <c r="U217" i="44"/>
  <c r="P240" i="44"/>
  <c r="Q37" i="44"/>
  <c r="O140" i="44"/>
  <c r="U96" i="44"/>
  <c r="U102" i="44"/>
  <c r="N269" i="44"/>
  <c r="U267" i="44"/>
  <c r="U300" i="44"/>
  <c r="U322" i="44"/>
  <c r="U232" i="44"/>
  <c r="O36" i="44"/>
  <c r="R37" i="44"/>
  <c r="P140" i="44"/>
  <c r="P141" i="44"/>
  <c r="U116" i="44"/>
  <c r="U130" i="44"/>
  <c r="K316" i="44"/>
  <c r="I329" i="44"/>
  <c r="U321" i="44"/>
  <c r="I330" i="44"/>
  <c r="I334" i="44" s="1"/>
  <c r="U166" i="44"/>
  <c r="U168" i="44"/>
  <c r="J177" i="44"/>
  <c r="N194" i="44"/>
  <c r="L226" i="44"/>
  <c r="R227" i="44"/>
  <c r="M241" i="44"/>
  <c r="K177" i="44"/>
  <c r="Q178" i="44"/>
  <c r="O194" i="44"/>
  <c r="S227" i="44"/>
  <c r="N241" i="44"/>
  <c r="R278" i="44"/>
  <c r="P317" i="44"/>
  <c r="J330" i="44"/>
  <c r="J334" i="44" s="1"/>
  <c r="R178" i="44"/>
  <c r="S185" i="44"/>
  <c r="J193" i="44"/>
  <c r="Q209" i="44"/>
  <c r="N226" i="44"/>
  <c r="I240" i="44"/>
  <c r="I295" i="44"/>
  <c r="M177" i="44"/>
  <c r="S178" i="44"/>
  <c r="J186" i="44"/>
  <c r="Q194" i="44"/>
  <c r="O226" i="44"/>
  <c r="J240" i="44"/>
  <c r="P241" i="44"/>
  <c r="I270" i="44"/>
  <c r="J295" i="44"/>
  <c r="N177" i="44"/>
  <c r="T178" i="44"/>
  <c r="Q241" i="44"/>
  <c r="I304" i="44"/>
  <c r="K270" i="44"/>
  <c r="I279" i="44"/>
  <c r="L295" i="44"/>
  <c r="J304" i="44"/>
  <c r="T317" i="44"/>
  <c r="N330" i="44"/>
  <c r="N334" i="44" s="1"/>
  <c r="M186" i="44"/>
  <c r="T194" i="44"/>
  <c r="K210" i="44"/>
  <c r="S241" i="44"/>
  <c r="I269" i="44"/>
  <c r="L270" i="44"/>
  <c r="J279" i="44"/>
  <c r="K304" i="44"/>
  <c r="Q177" i="44"/>
  <c r="T241" i="44"/>
  <c r="N270" i="44"/>
  <c r="I278" i="44"/>
  <c r="L279" i="44"/>
  <c r="O295" i="44"/>
  <c r="M304" i="44"/>
  <c r="Q330" i="44"/>
  <c r="Q334" i="44" s="1"/>
  <c r="S177" i="44"/>
  <c r="O270" i="44"/>
  <c r="M279" i="44"/>
  <c r="P295" i="44"/>
  <c r="N304" i="44"/>
  <c r="R330" i="44"/>
  <c r="R334" i="44" s="1"/>
  <c r="T177" i="44"/>
  <c r="I241" i="44"/>
  <c r="AG65" i="37" l="1"/>
  <c r="AL65" i="37"/>
  <c r="AM65" i="37"/>
  <c r="AS65" i="37" s="1"/>
  <c r="AB65" i="37"/>
  <c r="T55" i="37"/>
  <c r="AA65" i="37"/>
  <c r="AN65" i="37" s="1"/>
  <c r="AK65" i="37"/>
  <c r="AH65" i="37"/>
  <c r="AI65" i="37"/>
  <c r="AC65" i="37"/>
  <c r="AD65" i="37"/>
  <c r="AE65" i="37"/>
  <c r="AG56" i="37"/>
  <c r="AH56" i="37"/>
  <c r="AI56" i="37"/>
  <c r="AJ56" i="37"/>
  <c r="AK56" i="37"/>
  <c r="AL56" i="37"/>
  <c r="AD56" i="37"/>
  <c r="AM56" i="37"/>
  <c r="AC56" i="37"/>
  <c r="AE56" i="37"/>
  <c r="AF56" i="37"/>
  <c r="AV65" i="37"/>
  <c r="AW65" i="37"/>
  <c r="AX65" i="37"/>
  <c r="AY65" i="37"/>
  <c r="AZ65" i="37"/>
  <c r="AO65" i="37"/>
  <c r="AP65" i="37"/>
  <c r="AQ65" i="37"/>
  <c r="T33" i="7"/>
  <c r="F46" i="7"/>
  <c r="F51" i="37"/>
  <c r="C51" i="37"/>
  <c r="C46" i="7"/>
  <c r="Z33" i="7"/>
  <c r="P33" i="7"/>
  <c r="Q33" i="7"/>
  <c r="O33" i="7"/>
  <c r="E51" i="37"/>
  <c r="E46" i="7"/>
  <c r="I46" i="7"/>
  <c r="I51" i="37"/>
  <c r="R33" i="7"/>
  <c r="G46" i="7"/>
  <c r="G51" i="37"/>
  <c r="V33" i="7"/>
  <c r="S33" i="7"/>
  <c r="K46" i="7"/>
  <c r="K51" i="37"/>
  <c r="L46" i="7"/>
  <c r="L51" i="37"/>
  <c r="H46" i="7"/>
  <c r="H51" i="37"/>
  <c r="U33" i="7"/>
  <c r="X33" i="7"/>
  <c r="D51" i="37"/>
  <c r="D46" i="7"/>
  <c r="B51" i="37"/>
  <c r="B46" i="7"/>
  <c r="M46" i="7"/>
  <c r="M51" i="37"/>
  <c r="J46" i="7"/>
  <c r="J51" i="37"/>
  <c r="Y33" i="7"/>
  <c r="X55" i="37"/>
  <c r="U50" i="7"/>
  <c r="O50" i="7"/>
  <c r="S55" i="37"/>
  <c r="S50" i="7"/>
  <c r="G342" i="44"/>
  <c r="Q50" i="7"/>
  <c r="V55" i="37"/>
  <c r="U37" i="7"/>
  <c r="V37" i="7"/>
  <c r="W37" i="7"/>
  <c r="X37" i="7"/>
  <c r="Y37" i="7"/>
  <c r="Z37" i="7"/>
  <c r="O37" i="7"/>
  <c r="P37" i="7"/>
  <c r="Q37" i="7"/>
  <c r="R37" i="7"/>
  <c r="S37" i="7"/>
  <c r="T37" i="7"/>
  <c r="Z50" i="7"/>
  <c r="X50" i="7"/>
  <c r="O55" i="37"/>
  <c r="Y55" i="37"/>
  <c r="W55" i="37"/>
  <c r="T50" i="7"/>
  <c r="V50" i="7"/>
  <c r="P55" i="37"/>
  <c r="R50" i="7"/>
  <c r="Y50" i="7"/>
  <c r="P37" i="37"/>
  <c r="Q37" i="37"/>
  <c r="R37" i="37"/>
  <c r="S37" i="37"/>
  <c r="T37" i="37"/>
  <c r="O37" i="37"/>
  <c r="U37" i="37"/>
  <c r="V37" i="37"/>
  <c r="W37" i="37"/>
  <c r="X37" i="37"/>
  <c r="Y37" i="37"/>
  <c r="Z37" i="37"/>
  <c r="P50" i="7"/>
  <c r="Z55" i="37"/>
  <c r="Q55" i="37"/>
  <c r="U55" i="37"/>
  <c r="W50" i="7"/>
  <c r="R55" i="37"/>
  <c r="F339" i="44"/>
  <c r="F338" i="44"/>
  <c r="I145" i="44"/>
  <c r="B33" i="7" s="1"/>
  <c r="F150" i="44"/>
  <c r="F148" i="44"/>
  <c r="J145" i="44"/>
  <c r="C33" i="7" s="1"/>
  <c r="P145" i="44"/>
  <c r="I33" i="7" s="1"/>
  <c r="K145" i="44"/>
  <c r="D33" i="7" s="1"/>
  <c r="Q145" i="44"/>
  <c r="J33" i="7" s="1"/>
  <c r="M145" i="44"/>
  <c r="F33" i="7" s="1"/>
  <c r="O145" i="44"/>
  <c r="H33" i="7" s="1"/>
  <c r="U245" i="44"/>
  <c r="I243" i="44"/>
  <c r="B36" i="37" s="1"/>
  <c r="N145" i="44"/>
  <c r="G33" i="7" s="1"/>
  <c r="R145" i="44"/>
  <c r="K33" i="7" s="1"/>
  <c r="L145" i="44"/>
  <c r="E33" i="7" s="1"/>
  <c r="P331" i="44"/>
  <c r="M242" i="44"/>
  <c r="F39" i="37" s="1"/>
  <c r="J331" i="44"/>
  <c r="L331" i="44"/>
  <c r="S332" i="44"/>
  <c r="L50" i="37" s="1"/>
  <c r="R242" i="44"/>
  <c r="K39" i="37" s="1"/>
  <c r="U194" i="44"/>
  <c r="U303" i="44"/>
  <c r="P142" i="44"/>
  <c r="I35" i="7" s="1"/>
  <c r="Q142" i="44"/>
  <c r="J35" i="7" s="1"/>
  <c r="S143" i="44"/>
  <c r="L45" i="7" s="1"/>
  <c r="U278" i="44"/>
  <c r="M331" i="44"/>
  <c r="N143" i="44"/>
  <c r="K142" i="44"/>
  <c r="D35" i="7" s="1"/>
  <c r="N243" i="44"/>
  <c r="U193" i="44"/>
  <c r="T331" i="44"/>
  <c r="G249" i="44"/>
  <c r="K332" i="44"/>
  <c r="D50" i="37" s="1"/>
  <c r="R143" i="44"/>
  <c r="N331" i="44"/>
  <c r="Q331" i="44"/>
  <c r="Q332" i="44"/>
  <c r="J50" i="37" s="1"/>
  <c r="T332" i="44"/>
  <c r="M50" i="37" s="1"/>
  <c r="U141" i="44"/>
  <c r="O243" i="44"/>
  <c r="L142" i="44"/>
  <c r="E35" i="7" s="1"/>
  <c r="U36" i="44"/>
  <c r="U241" i="44"/>
  <c r="T143" i="44"/>
  <c r="M45" i="7" s="1"/>
  <c r="M143" i="44"/>
  <c r="F45" i="7" s="1"/>
  <c r="M332" i="44"/>
  <c r="F50" i="37" s="1"/>
  <c r="Q143" i="44"/>
  <c r="J45" i="7" s="1"/>
  <c r="J332" i="44"/>
  <c r="C50" i="37" s="1"/>
  <c r="S242" i="44"/>
  <c r="L39" i="37" s="1"/>
  <c r="S243" i="44"/>
  <c r="F249" i="44"/>
  <c r="M243" i="44"/>
  <c r="F36" i="37" s="1"/>
  <c r="T40" i="42"/>
  <c r="R40" i="42"/>
  <c r="S40" i="42"/>
  <c r="U40" i="42"/>
  <c r="V40" i="42"/>
  <c r="Q40" i="42"/>
  <c r="O30" i="42"/>
  <c r="AA30" i="42"/>
  <c r="N40" i="42"/>
  <c r="Y40" i="42"/>
  <c r="P243" i="44"/>
  <c r="I36" i="37" s="1"/>
  <c r="G250" i="44"/>
  <c r="O331" i="44"/>
  <c r="L143" i="44"/>
  <c r="K143" i="44"/>
  <c r="R332" i="44"/>
  <c r="K50" i="37" s="1"/>
  <c r="X40" i="42"/>
  <c r="F250" i="44"/>
  <c r="K331" i="44"/>
  <c r="I142" i="44"/>
  <c r="B35" i="7" s="1"/>
  <c r="U52" i="44"/>
  <c r="U53" i="44"/>
  <c r="F251" i="44"/>
  <c r="U178" i="44"/>
  <c r="U177" i="44"/>
  <c r="Z40" i="42"/>
  <c r="U45" i="44"/>
  <c r="G153" i="44"/>
  <c r="U226" i="44"/>
  <c r="U227" i="44"/>
  <c r="U44" i="44"/>
  <c r="U37" i="44"/>
  <c r="O332" i="44"/>
  <c r="H50" i="37" s="1"/>
  <c r="Q243" i="44"/>
  <c r="U295" i="44"/>
  <c r="O143" i="44"/>
  <c r="H45" i="7" s="1"/>
  <c r="I37" i="44"/>
  <c r="I143" i="44" s="1"/>
  <c r="B45" i="7" s="1"/>
  <c r="P332" i="44"/>
  <c r="I50" i="37" s="1"/>
  <c r="U73" i="44"/>
  <c r="U72" i="44"/>
  <c r="K242" i="44"/>
  <c r="D39" i="37" s="1"/>
  <c r="R142" i="44"/>
  <c r="K35" i="7" s="1"/>
  <c r="U140" i="44"/>
  <c r="AB30" i="42"/>
  <c r="Q242" i="44"/>
  <c r="J39" i="37" s="1"/>
  <c r="T243" i="44"/>
  <c r="M36" i="37" s="1"/>
  <c r="N19" i="42"/>
  <c r="O242" i="44"/>
  <c r="H39" i="37" s="1"/>
  <c r="L242" i="44"/>
  <c r="E39" i="37" s="1"/>
  <c r="S331" i="44"/>
  <c r="G251" i="44"/>
  <c r="N242" i="44"/>
  <c r="G39" i="37" s="1"/>
  <c r="J242" i="44"/>
  <c r="C39" i="37" s="1"/>
  <c r="U316" i="44"/>
  <c r="U317" i="44"/>
  <c r="U240" i="44"/>
  <c r="L243" i="44"/>
  <c r="E36" i="37" s="1"/>
  <c r="N142" i="44"/>
  <c r="G35" i="7" s="1"/>
  <c r="O40" i="42"/>
  <c r="Z19" i="42"/>
  <c r="Y19" i="42"/>
  <c r="P19" i="42"/>
  <c r="X19" i="42"/>
  <c r="W19" i="42"/>
  <c r="O19" i="42"/>
  <c r="V19" i="42"/>
  <c r="U19" i="42"/>
  <c r="T19" i="42"/>
  <c r="S19" i="42"/>
  <c r="R19" i="42"/>
  <c r="Q19" i="42"/>
  <c r="U89" i="44"/>
  <c r="U90" i="44"/>
  <c r="AA38" i="42"/>
  <c r="AB38" i="42" s="1"/>
  <c r="AC38" i="42" s="1"/>
  <c r="AD38" i="42" s="1"/>
  <c r="N332" i="44"/>
  <c r="G50" i="37" s="1"/>
  <c r="I242" i="44"/>
  <c r="B39" i="37" s="1"/>
  <c r="M142" i="44"/>
  <c r="F35" i="7" s="1"/>
  <c r="AA46" i="42"/>
  <c r="L332" i="44"/>
  <c r="E50" i="37" s="1"/>
  <c r="I331" i="44"/>
  <c r="I332" i="44"/>
  <c r="B50" i="37" s="1"/>
  <c r="R243" i="44"/>
  <c r="K36" i="37" s="1"/>
  <c r="T142" i="44"/>
  <c r="M35" i="7" s="1"/>
  <c r="Y35" i="7" s="1"/>
  <c r="S142" i="44"/>
  <c r="L35" i="7" s="1"/>
  <c r="P40" i="42"/>
  <c r="U209" i="44"/>
  <c r="U210" i="44"/>
  <c r="J243" i="44"/>
  <c r="C36" i="37" s="1"/>
  <c r="U304" i="44"/>
  <c r="U279" i="44"/>
  <c r="J142" i="44"/>
  <c r="C35" i="7" s="1"/>
  <c r="U269" i="44"/>
  <c r="U270" i="44"/>
  <c r="J143" i="44"/>
  <c r="R331" i="44"/>
  <c r="P143" i="44"/>
  <c r="I45" i="7" s="1"/>
  <c r="U330" i="44"/>
  <c r="U334" i="44" s="1"/>
  <c r="U329" i="44"/>
  <c r="K243" i="44"/>
  <c r="D36" i="37" s="1"/>
  <c r="T242" i="44"/>
  <c r="M39" i="37" s="1"/>
  <c r="U185" i="44"/>
  <c r="U186" i="44"/>
  <c r="O142" i="44"/>
  <c r="H35" i="7" s="1"/>
  <c r="P242" i="44"/>
  <c r="I39" i="37" s="1"/>
  <c r="U294" i="44"/>
  <c r="W40" i="42"/>
  <c r="AU65" i="37" l="1"/>
  <c r="AT65" i="37"/>
  <c r="AR65" i="37"/>
  <c r="D45" i="7"/>
  <c r="AP56" i="37"/>
  <c r="AQ56" i="37"/>
  <c r="AR56" i="37"/>
  <c r="AS56" i="37"/>
  <c r="AT56" i="37"/>
  <c r="AU56" i="37"/>
  <c r="AV56" i="37"/>
  <c r="AW56" i="37"/>
  <c r="AX56" i="37"/>
  <c r="AY56" i="37"/>
  <c r="AZ56" i="37"/>
  <c r="AB46" i="42"/>
  <c r="K45" i="7"/>
  <c r="P35" i="7"/>
  <c r="E41" i="37"/>
  <c r="B41" i="37"/>
  <c r="H41" i="37"/>
  <c r="K41" i="37"/>
  <c r="G41" i="37"/>
  <c r="D41" i="37"/>
  <c r="F41" i="37"/>
  <c r="C41" i="37"/>
  <c r="L41" i="37"/>
  <c r="J41" i="37"/>
  <c r="I41" i="37"/>
  <c r="M41" i="37"/>
  <c r="J53" i="37"/>
  <c r="J48" i="7"/>
  <c r="D53" i="37"/>
  <c r="D48" i="7"/>
  <c r="G53" i="37"/>
  <c r="G48" i="7"/>
  <c r="W51" i="37"/>
  <c r="V51" i="37"/>
  <c r="U51" i="37"/>
  <c r="T51" i="37"/>
  <c r="S51" i="37"/>
  <c r="O51" i="37"/>
  <c r="P51" i="37"/>
  <c r="R51" i="37"/>
  <c r="Y51" i="37"/>
  <c r="Q51" i="37"/>
  <c r="X51" i="37"/>
  <c r="Z51" i="37"/>
  <c r="P46" i="7"/>
  <c r="V46" i="7"/>
  <c r="U46" i="7"/>
  <c r="S46" i="7"/>
  <c r="Z46" i="7"/>
  <c r="Y46" i="7"/>
  <c r="T46" i="7"/>
  <c r="R46" i="7"/>
  <c r="Q46" i="7"/>
  <c r="O46" i="7"/>
  <c r="X46" i="7"/>
  <c r="W46" i="7"/>
  <c r="X35" i="7"/>
  <c r="W35" i="7"/>
  <c r="B53" i="37"/>
  <c r="B48" i="7"/>
  <c r="T45" i="7"/>
  <c r="Z45" i="7"/>
  <c r="Y45" i="7"/>
  <c r="O45" i="7"/>
  <c r="W45" i="7"/>
  <c r="X45" i="7"/>
  <c r="U45" i="7"/>
  <c r="V45" i="7"/>
  <c r="Q45" i="7"/>
  <c r="P45" i="7"/>
  <c r="S45" i="7"/>
  <c r="R45" i="7"/>
  <c r="U35" i="7"/>
  <c r="R35" i="7"/>
  <c r="R21" i="42"/>
  <c r="M48" i="7"/>
  <c r="M53" i="37"/>
  <c r="C45" i="7"/>
  <c r="O35" i="7"/>
  <c r="K53" i="37"/>
  <c r="K48" i="7"/>
  <c r="L53" i="37"/>
  <c r="L48" i="7"/>
  <c r="E48" i="7"/>
  <c r="E53" i="37"/>
  <c r="V35" i="7"/>
  <c r="E45" i="7"/>
  <c r="G45" i="7"/>
  <c r="C53" i="37"/>
  <c r="C48" i="7"/>
  <c r="Z35" i="7"/>
  <c r="H48" i="7"/>
  <c r="H53" i="37"/>
  <c r="T35" i="7"/>
  <c r="S35" i="7"/>
  <c r="F342" i="44"/>
  <c r="M55" i="37"/>
  <c r="J55" i="37"/>
  <c r="G55" i="37"/>
  <c r="I55" i="37"/>
  <c r="I50" i="7"/>
  <c r="L50" i="7"/>
  <c r="E50" i="7"/>
  <c r="L55" i="37"/>
  <c r="H55" i="37"/>
  <c r="F55" i="37"/>
  <c r="C55" i="37"/>
  <c r="H50" i="7"/>
  <c r="D50" i="7"/>
  <c r="B50" i="7"/>
  <c r="C50" i="7"/>
  <c r="K50" i="7"/>
  <c r="E55" i="37"/>
  <c r="G50" i="7"/>
  <c r="B55" i="37"/>
  <c r="K55" i="37"/>
  <c r="M50" i="7"/>
  <c r="J50" i="7"/>
  <c r="D55" i="37"/>
  <c r="F50" i="7"/>
  <c r="Q35" i="7"/>
  <c r="F53" i="37"/>
  <c r="F48" i="7"/>
  <c r="I53" i="37"/>
  <c r="I48" i="7"/>
  <c r="P50" i="37"/>
  <c r="W50" i="37"/>
  <c r="X50" i="37"/>
  <c r="Y50" i="37"/>
  <c r="Z50" i="37"/>
  <c r="O50" i="37"/>
  <c r="V50" i="37"/>
  <c r="U50" i="37"/>
  <c r="T50" i="37"/>
  <c r="S50" i="37"/>
  <c r="R50" i="37"/>
  <c r="Q50" i="37"/>
  <c r="Y36" i="37"/>
  <c r="Z36" i="37"/>
  <c r="P36" i="37"/>
  <c r="O36" i="37"/>
  <c r="Q36" i="37"/>
  <c r="R36" i="37"/>
  <c r="S36" i="37"/>
  <c r="T36" i="37"/>
  <c r="U36" i="37"/>
  <c r="V36" i="37"/>
  <c r="W36" i="37"/>
  <c r="X36" i="37"/>
  <c r="AC55" i="37"/>
  <c r="AF55" i="37"/>
  <c r="AG55" i="37"/>
  <c r="AH55" i="37"/>
  <c r="AI55" i="37"/>
  <c r="AM55" i="37"/>
  <c r="AD55" i="37"/>
  <c r="AE55" i="37"/>
  <c r="AL55" i="37"/>
  <c r="AK55" i="37"/>
  <c r="AB55" i="37"/>
  <c r="AJ55" i="37"/>
  <c r="P39" i="37"/>
  <c r="Q39" i="37"/>
  <c r="R39" i="37"/>
  <c r="S39" i="37"/>
  <c r="T39" i="37"/>
  <c r="U39" i="37"/>
  <c r="V39" i="37"/>
  <c r="W39" i="37"/>
  <c r="X39" i="37"/>
  <c r="Y39" i="37"/>
  <c r="Z39" i="37"/>
  <c r="O39" i="37"/>
  <c r="AD37" i="37"/>
  <c r="AE37" i="37"/>
  <c r="AF37" i="37"/>
  <c r="AG37" i="37"/>
  <c r="AH37" i="37"/>
  <c r="AI37" i="37"/>
  <c r="AJ37" i="37"/>
  <c r="AK37" i="37"/>
  <c r="AL37" i="37"/>
  <c r="AM37" i="37"/>
  <c r="AB37" i="37"/>
  <c r="AC37" i="37"/>
  <c r="AA55" i="37"/>
  <c r="AA50" i="7"/>
  <c r="AB50" i="7" s="1"/>
  <c r="AC50" i="7" s="1"/>
  <c r="AD50" i="7" s="1"/>
  <c r="AA37" i="7"/>
  <c r="AB37" i="7" s="1"/>
  <c r="AC37" i="7" s="1"/>
  <c r="AD37" i="7" s="1"/>
  <c r="L37" i="7"/>
  <c r="M37" i="7"/>
  <c r="B37" i="7"/>
  <c r="C37" i="7"/>
  <c r="D37" i="7"/>
  <c r="E37" i="7"/>
  <c r="I37" i="7"/>
  <c r="F37" i="7"/>
  <c r="G37" i="7"/>
  <c r="H37" i="7"/>
  <c r="J37" i="7"/>
  <c r="K37" i="7"/>
  <c r="J9" i="43"/>
  <c r="I31" i="7" s="1"/>
  <c r="E9" i="43"/>
  <c r="D31" i="7" s="1"/>
  <c r="G9" i="43"/>
  <c r="F31" i="7" s="1"/>
  <c r="L9" i="43"/>
  <c r="K31" i="7" s="1"/>
  <c r="D9" i="43"/>
  <c r="C31" i="7" s="1"/>
  <c r="F9" i="43"/>
  <c r="E31" i="7" s="1"/>
  <c r="N9" i="43"/>
  <c r="M31" i="7" s="1"/>
  <c r="M9" i="43"/>
  <c r="L31" i="7" s="1"/>
  <c r="C9" i="43"/>
  <c r="B31" i="7" s="1"/>
  <c r="I9" i="43"/>
  <c r="H31" i="7" s="1"/>
  <c r="H9" i="43"/>
  <c r="G31" i="7" s="1"/>
  <c r="K9" i="43"/>
  <c r="J31" i="7" s="1"/>
  <c r="U145" i="44"/>
  <c r="K10" i="43"/>
  <c r="J35" i="37" s="1"/>
  <c r="J36" i="37"/>
  <c r="M10" i="43"/>
  <c r="L35" i="37" s="1"/>
  <c r="L36" i="37"/>
  <c r="H10" i="43"/>
  <c r="G35" i="37" s="1"/>
  <c r="G36" i="37"/>
  <c r="I10" i="43"/>
  <c r="H35" i="37" s="1"/>
  <c r="H36" i="37"/>
  <c r="I11" i="43"/>
  <c r="L11" i="43"/>
  <c r="F11" i="43"/>
  <c r="C11" i="43"/>
  <c r="M11" i="43"/>
  <c r="P17" i="42"/>
  <c r="P18" i="42" s="1"/>
  <c r="P22" i="42" s="1"/>
  <c r="N11" i="43"/>
  <c r="H11" i="43"/>
  <c r="K11" i="43"/>
  <c r="J11" i="43"/>
  <c r="D11" i="43"/>
  <c r="E11" i="43"/>
  <c r="G11" i="43"/>
  <c r="T21" i="42"/>
  <c r="X21" i="42"/>
  <c r="Y21" i="42"/>
  <c r="Z21" i="42"/>
  <c r="W21" i="42"/>
  <c r="V21" i="42"/>
  <c r="U21" i="42"/>
  <c r="O21" i="42"/>
  <c r="S21" i="42"/>
  <c r="U332" i="44"/>
  <c r="F254" i="44"/>
  <c r="P21" i="42"/>
  <c r="Q21" i="42"/>
  <c r="J10" i="43"/>
  <c r="I35" i="37" s="1"/>
  <c r="U331" i="44"/>
  <c r="E10" i="43"/>
  <c r="D35" i="37" s="1"/>
  <c r="D10" i="43"/>
  <c r="C35" i="37" s="1"/>
  <c r="U143" i="44"/>
  <c r="N10" i="43"/>
  <c r="M35" i="37" s="1"/>
  <c r="F10" i="43"/>
  <c r="E35" i="37" s="1"/>
  <c r="U142" i="44"/>
  <c r="C10" i="43"/>
  <c r="B35" i="37" s="1"/>
  <c r="G10" i="43"/>
  <c r="F35" i="37" s="1"/>
  <c r="L10" i="43"/>
  <c r="K35" i="37" s="1"/>
  <c r="G254" i="44"/>
  <c r="N21" i="42"/>
  <c r="AC30" i="42"/>
  <c r="AD30" i="42"/>
  <c r="D35" i="42"/>
  <c r="C35" i="42"/>
  <c r="F35" i="42"/>
  <c r="M35" i="42"/>
  <c r="L35" i="42"/>
  <c r="G35" i="42"/>
  <c r="K35" i="42"/>
  <c r="J35" i="42"/>
  <c r="I35" i="42"/>
  <c r="H35" i="42"/>
  <c r="E35" i="42"/>
  <c r="T35" i="42"/>
  <c r="S35" i="42"/>
  <c r="R35" i="42"/>
  <c r="Q35" i="42"/>
  <c r="V35" i="42"/>
  <c r="P35" i="42"/>
  <c r="W35" i="42"/>
  <c r="Z35" i="42"/>
  <c r="Y35" i="42"/>
  <c r="X35" i="42"/>
  <c r="U35" i="42"/>
  <c r="F153" i="44"/>
  <c r="AA40" i="42"/>
  <c r="U242" i="44"/>
  <c r="AA19" i="42"/>
  <c r="AB19" i="42" s="1"/>
  <c r="AC19" i="42" s="1"/>
  <c r="AD19" i="42" s="1"/>
  <c r="U243" i="44"/>
  <c r="BA65" i="37" l="1"/>
  <c r="BB65" i="37" s="1"/>
  <c r="AC46" i="42"/>
  <c r="N50" i="7"/>
  <c r="V53" i="37"/>
  <c r="Z53" i="37"/>
  <c r="Y53" i="37"/>
  <c r="X53" i="37"/>
  <c r="W53" i="37"/>
  <c r="O53" i="37"/>
  <c r="T53" i="37"/>
  <c r="S53" i="37"/>
  <c r="R53" i="37"/>
  <c r="Q53" i="37"/>
  <c r="P53" i="37"/>
  <c r="U53" i="37"/>
  <c r="AD51" i="37"/>
  <c r="AE51" i="37"/>
  <c r="AB51" i="37"/>
  <c r="AI51" i="37"/>
  <c r="AF51" i="37"/>
  <c r="AH51" i="37"/>
  <c r="AG51" i="37"/>
  <c r="AK51" i="37"/>
  <c r="AJ51" i="37"/>
  <c r="AL51" i="37"/>
  <c r="AM51" i="37"/>
  <c r="AC51" i="37"/>
  <c r="S41" i="37"/>
  <c r="X41" i="37"/>
  <c r="O41" i="37"/>
  <c r="Q41" i="37"/>
  <c r="P41" i="37"/>
  <c r="Z41" i="37"/>
  <c r="Y41" i="37"/>
  <c r="W41" i="37"/>
  <c r="T41" i="37"/>
  <c r="V41" i="37"/>
  <c r="U41" i="37"/>
  <c r="R41" i="37"/>
  <c r="R48" i="7"/>
  <c r="Z48" i="7"/>
  <c r="X48" i="7"/>
  <c r="W48" i="7"/>
  <c r="S48" i="7"/>
  <c r="T48" i="7"/>
  <c r="V48" i="7"/>
  <c r="P48" i="7"/>
  <c r="Y48" i="7"/>
  <c r="U48" i="7"/>
  <c r="Q48" i="7"/>
  <c r="O48" i="7"/>
  <c r="N55" i="37"/>
  <c r="AB50" i="37"/>
  <c r="AM50" i="37"/>
  <c r="AL50" i="37"/>
  <c r="AK50" i="37"/>
  <c r="AE50" i="37"/>
  <c r="AJ50" i="37"/>
  <c r="AI50" i="37"/>
  <c r="AH50" i="37"/>
  <c r="AG50" i="37"/>
  <c r="AF50" i="37"/>
  <c r="AD50" i="37"/>
  <c r="AC50" i="37"/>
  <c r="N41" i="37"/>
  <c r="H49" i="37"/>
  <c r="H44" i="7"/>
  <c r="C32" i="7"/>
  <c r="C34" i="7" s="1"/>
  <c r="N37" i="7"/>
  <c r="K32" i="7"/>
  <c r="K34" i="7" s="1"/>
  <c r="F32" i="7"/>
  <c r="F36" i="7" s="1"/>
  <c r="D44" i="7"/>
  <c r="D49" i="37"/>
  <c r="C44" i="7"/>
  <c r="C49" i="37"/>
  <c r="I32" i="7"/>
  <c r="I36" i="7" s="1"/>
  <c r="L32" i="7"/>
  <c r="L34" i="7" s="1"/>
  <c r="T35" i="37"/>
  <c r="T40" i="37" s="1"/>
  <c r="U35" i="37"/>
  <c r="V35" i="37"/>
  <c r="W35" i="37"/>
  <c r="X35" i="37"/>
  <c r="Y35" i="37"/>
  <c r="Z35" i="37"/>
  <c r="O35" i="37"/>
  <c r="P35" i="37"/>
  <c r="P40" i="37" s="1"/>
  <c r="Q35" i="37"/>
  <c r="Q40" i="37" s="1"/>
  <c r="R35" i="37"/>
  <c r="R40" i="37" s="1"/>
  <c r="S35" i="37"/>
  <c r="S40" i="37" s="1"/>
  <c r="I44" i="7"/>
  <c r="I49" i="37"/>
  <c r="AN55" i="37"/>
  <c r="F44" i="7"/>
  <c r="F49" i="37"/>
  <c r="K49" i="37"/>
  <c r="K44" i="7"/>
  <c r="Q31" i="7"/>
  <c r="P31" i="7"/>
  <c r="W31" i="7"/>
  <c r="V31" i="7"/>
  <c r="M32" i="7"/>
  <c r="M34" i="7" s="1"/>
  <c r="T31" i="7"/>
  <c r="O31" i="7"/>
  <c r="U31" i="7"/>
  <c r="Z31" i="7"/>
  <c r="R31" i="7"/>
  <c r="Y31" i="7"/>
  <c r="X31" i="7"/>
  <c r="S31" i="7"/>
  <c r="J49" i="37"/>
  <c r="J44" i="7"/>
  <c r="G44" i="7"/>
  <c r="G49" i="37"/>
  <c r="M49" i="37"/>
  <c r="M44" i="7"/>
  <c r="J32" i="7"/>
  <c r="J34" i="7" s="1"/>
  <c r="AH39" i="37"/>
  <c r="AI39" i="37"/>
  <c r="AJ39" i="37"/>
  <c r="AK39" i="37"/>
  <c r="AL39" i="37"/>
  <c r="AM39" i="37"/>
  <c r="AC39" i="37"/>
  <c r="AD39" i="37"/>
  <c r="AE39" i="37"/>
  <c r="AF39" i="37"/>
  <c r="AG39" i="37"/>
  <c r="AB39" i="37"/>
  <c r="D32" i="7"/>
  <c r="D34" i="7" s="1"/>
  <c r="L44" i="7"/>
  <c r="L49" i="37"/>
  <c r="G32" i="7"/>
  <c r="G36" i="7" s="1"/>
  <c r="AY37" i="37"/>
  <c r="AZ37" i="37"/>
  <c r="AO37" i="37"/>
  <c r="AP37" i="37"/>
  <c r="AQ37" i="37"/>
  <c r="AR37" i="37"/>
  <c r="AS37" i="37"/>
  <c r="AT37" i="37"/>
  <c r="AU37" i="37"/>
  <c r="AV37" i="37"/>
  <c r="AW37" i="37"/>
  <c r="AX37" i="37"/>
  <c r="E32" i="7"/>
  <c r="E36" i="7" s="1"/>
  <c r="B49" i="37"/>
  <c r="B44" i="7"/>
  <c r="H32" i="7"/>
  <c r="H34" i="7" s="1"/>
  <c r="AS55" i="37"/>
  <c r="AP55" i="37"/>
  <c r="AQ55" i="37"/>
  <c r="AR55" i="37"/>
  <c r="AX55" i="37"/>
  <c r="AY55" i="37"/>
  <c r="AZ55" i="37"/>
  <c r="AO55" i="37"/>
  <c r="AV55" i="37"/>
  <c r="AU55" i="37"/>
  <c r="AT55" i="37"/>
  <c r="AW55" i="37"/>
  <c r="AC36" i="37"/>
  <c r="AD36" i="37"/>
  <c r="AE36" i="37"/>
  <c r="AF36" i="37"/>
  <c r="AG36" i="37"/>
  <c r="AH36" i="37"/>
  <c r="AI36" i="37"/>
  <c r="AJ36" i="37"/>
  <c r="AK36" i="37"/>
  <c r="AB36" i="37"/>
  <c r="AL36" i="37"/>
  <c r="AM36" i="37"/>
  <c r="E49" i="37"/>
  <c r="E44" i="7"/>
  <c r="B32" i="7"/>
  <c r="B34" i="7" s="1"/>
  <c r="H40" i="37"/>
  <c r="X17" i="42"/>
  <c r="X18" i="42" s="1"/>
  <c r="X22" i="42" s="1"/>
  <c r="Q17" i="42"/>
  <c r="Q18" i="42" s="1"/>
  <c r="Q22" i="42" s="1"/>
  <c r="L40" i="37"/>
  <c r="E38" i="37"/>
  <c r="E40" i="37"/>
  <c r="M38" i="37"/>
  <c r="M40" i="37"/>
  <c r="D38" i="37"/>
  <c r="D40" i="37"/>
  <c r="G40" i="37"/>
  <c r="C38" i="37"/>
  <c r="C40" i="37"/>
  <c r="F38" i="37"/>
  <c r="F40" i="37"/>
  <c r="J40" i="37"/>
  <c r="B38" i="37"/>
  <c r="B40" i="37"/>
  <c r="I38" i="37"/>
  <c r="I40" i="37"/>
  <c r="K38" i="37"/>
  <c r="K40" i="37"/>
  <c r="J25" i="42"/>
  <c r="V17" i="42"/>
  <c r="V18" i="42" s="1"/>
  <c r="V22" i="42" s="1"/>
  <c r="W17" i="42"/>
  <c r="W18" i="42" s="1"/>
  <c r="W20" i="42" s="1"/>
  <c r="Z17" i="42"/>
  <c r="Z18" i="42" s="1"/>
  <c r="Z20" i="42" s="1"/>
  <c r="D25" i="42"/>
  <c r="L38" i="37"/>
  <c r="L25" i="42"/>
  <c r="H38" i="37"/>
  <c r="G38" i="37"/>
  <c r="J38" i="37"/>
  <c r="U17" i="42"/>
  <c r="U18" i="42" s="1"/>
  <c r="U22" i="42" s="1"/>
  <c r="R17" i="42"/>
  <c r="R18" i="42" s="1"/>
  <c r="R20" i="42" s="1"/>
  <c r="N17" i="42"/>
  <c r="T17" i="42"/>
  <c r="T18" i="42" s="1"/>
  <c r="T22" i="42" s="1"/>
  <c r="F25" i="42"/>
  <c r="O17" i="42"/>
  <c r="O18" i="42" s="1"/>
  <c r="S17" i="42"/>
  <c r="S18" i="42" s="1"/>
  <c r="S22" i="42" s="1"/>
  <c r="Y17" i="42"/>
  <c r="Y18" i="42" s="1"/>
  <c r="AA21" i="42"/>
  <c r="AB21" i="42" s="1"/>
  <c r="AC21" i="42" s="1"/>
  <c r="AD21" i="42" s="1"/>
  <c r="C25" i="42"/>
  <c r="H25" i="42"/>
  <c r="E25" i="42"/>
  <c r="P20" i="42"/>
  <c r="P25" i="42" s="1"/>
  <c r="I25" i="42"/>
  <c r="N35" i="42"/>
  <c r="B35" i="42"/>
  <c r="AB40" i="42"/>
  <c r="K25" i="42"/>
  <c r="O35" i="42"/>
  <c r="C36" i="7" l="1"/>
  <c r="AD46" i="42"/>
  <c r="AL41" i="37"/>
  <c r="AM41" i="37"/>
  <c r="AC41" i="37"/>
  <c r="AD41" i="37"/>
  <c r="AE41" i="37"/>
  <c r="AF41" i="37"/>
  <c r="AG41" i="37"/>
  <c r="AH41" i="37"/>
  <c r="AI41" i="37"/>
  <c r="AB41" i="37"/>
  <c r="AJ41" i="37"/>
  <c r="AK41" i="37"/>
  <c r="AZ51" i="37"/>
  <c r="AP51" i="37"/>
  <c r="AQ51" i="37"/>
  <c r="AR51" i="37"/>
  <c r="AO51" i="37"/>
  <c r="AS51" i="37"/>
  <c r="AT51" i="37"/>
  <c r="AU51" i="37"/>
  <c r="AV51" i="37"/>
  <c r="AW51" i="37"/>
  <c r="AY51" i="37"/>
  <c r="AX51" i="37"/>
  <c r="AA41" i="37"/>
  <c r="T38" i="37"/>
  <c r="AP50" i="37"/>
  <c r="AQ50" i="37"/>
  <c r="AR50" i="37"/>
  <c r="AZ50" i="37"/>
  <c r="AT50" i="37"/>
  <c r="AU50" i="37"/>
  <c r="AO50" i="37"/>
  <c r="AS50" i="37"/>
  <c r="AV50" i="37"/>
  <c r="AW50" i="37"/>
  <c r="AX50" i="37"/>
  <c r="AY50" i="37"/>
  <c r="E34" i="7"/>
  <c r="AJ53" i="37"/>
  <c r="AB53" i="37"/>
  <c r="AC53" i="37"/>
  <c r="AD53" i="37"/>
  <c r="AK53" i="37"/>
  <c r="AE53" i="37"/>
  <c r="AL53" i="37"/>
  <c r="AM53" i="37"/>
  <c r="AH53" i="37"/>
  <c r="AI53" i="37"/>
  <c r="AF53" i="37"/>
  <c r="AG53" i="37"/>
  <c r="B36" i="7"/>
  <c r="K36" i="7"/>
  <c r="H36" i="7"/>
  <c r="I34" i="7"/>
  <c r="G34" i="7"/>
  <c r="F34" i="7"/>
  <c r="P38" i="37"/>
  <c r="M36" i="7"/>
  <c r="L36" i="7"/>
  <c r="W32" i="7"/>
  <c r="W36" i="7" s="1"/>
  <c r="W34" i="7"/>
  <c r="P32" i="7"/>
  <c r="P36" i="7" s="1"/>
  <c r="D52" i="37"/>
  <c r="D54" i="37"/>
  <c r="Q32" i="7"/>
  <c r="Q34" i="7" s="1"/>
  <c r="O40" i="37"/>
  <c r="O38" i="37"/>
  <c r="AP39" i="37"/>
  <c r="AO39" i="37"/>
  <c r="AQ39" i="37"/>
  <c r="AR39" i="37"/>
  <c r="AS39" i="37"/>
  <c r="AT39" i="37"/>
  <c r="AU39" i="37"/>
  <c r="AV39" i="37"/>
  <c r="AW39" i="37"/>
  <c r="AX39" i="37"/>
  <c r="AY39" i="37"/>
  <c r="AZ39" i="37"/>
  <c r="J52" i="37"/>
  <c r="J54" i="37"/>
  <c r="Q38" i="37"/>
  <c r="K52" i="37"/>
  <c r="K54" i="37"/>
  <c r="AJ35" i="37"/>
  <c r="AK35" i="37"/>
  <c r="AL35" i="37"/>
  <c r="AM35" i="37"/>
  <c r="Z40" i="37"/>
  <c r="AC35" i="37"/>
  <c r="AD35" i="37"/>
  <c r="AE35" i="37"/>
  <c r="AE40" i="37" s="1"/>
  <c r="AF35" i="37"/>
  <c r="AG35" i="37"/>
  <c r="AG40" i="37" s="1"/>
  <c r="AB35" i="37"/>
  <c r="Z38" i="37"/>
  <c r="AH35" i="37"/>
  <c r="AH38" i="37" s="1"/>
  <c r="AI35" i="37"/>
  <c r="AI40" i="37" s="1"/>
  <c r="V32" i="7"/>
  <c r="V34" i="7" s="1"/>
  <c r="G52" i="37"/>
  <c r="G54" i="37"/>
  <c r="S32" i="7"/>
  <c r="S34" i="7" s="1"/>
  <c r="R38" i="37"/>
  <c r="Y40" i="37"/>
  <c r="Y38" i="37"/>
  <c r="O49" i="37"/>
  <c r="M54" i="37"/>
  <c r="Q49" i="37"/>
  <c r="U49" i="37"/>
  <c r="P49" i="37"/>
  <c r="T49" i="37"/>
  <c r="Y49" i="37"/>
  <c r="Z49" i="37"/>
  <c r="X49" i="37"/>
  <c r="M52" i="37"/>
  <c r="S49" i="37"/>
  <c r="W49" i="37"/>
  <c r="V49" i="37"/>
  <c r="R49" i="37"/>
  <c r="C52" i="37"/>
  <c r="C54" i="37"/>
  <c r="X32" i="7"/>
  <c r="X34" i="7" s="1"/>
  <c r="X36" i="7"/>
  <c r="F52" i="37"/>
  <c r="F54" i="37"/>
  <c r="X40" i="37"/>
  <c r="X38" i="37"/>
  <c r="AT36" i="37"/>
  <c r="AU36" i="37"/>
  <c r="AV36" i="37"/>
  <c r="AW36" i="37"/>
  <c r="AX36" i="37"/>
  <c r="AY36" i="37"/>
  <c r="AZ36" i="37"/>
  <c r="AO36" i="37"/>
  <c r="AP36" i="37"/>
  <c r="AQ36" i="37"/>
  <c r="AR36" i="37"/>
  <c r="AS36" i="37"/>
  <c r="W40" i="37"/>
  <c r="W38" i="37"/>
  <c r="S38" i="37"/>
  <c r="V40" i="37"/>
  <c r="V38" i="37"/>
  <c r="Y32" i="7"/>
  <c r="Y34" i="7" s="1"/>
  <c r="B47" i="7"/>
  <c r="B49" i="7"/>
  <c r="R32" i="7"/>
  <c r="R34" i="7" s="1"/>
  <c r="U40" i="37"/>
  <c r="U38" i="37"/>
  <c r="Z32" i="7"/>
  <c r="Z36" i="7" s="1"/>
  <c r="BA55" i="37"/>
  <c r="BB55" i="37" s="1"/>
  <c r="U32" i="7"/>
  <c r="U34" i="7" s="1"/>
  <c r="L52" i="37"/>
  <c r="L54" i="37"/>
  <c r="J36" i="7"/>
  <c r="O32" i="7"/>
  <c r="O34" i="7" s="1"/>
  <c r="E52" i="37"/>
  <c r="E54" i="37"/>
  <c r="T32" i="7"/>
  <c r="T34" i="7" s="1"/>
  <c r="I52" i="37"/>
  <c r="I54" i="37"/>
  <c r="B54" i="37"/>
  <c r="B52" i="37"/>
  <c r="D36" i="7"/>
  <c r="H54" i="37"/>
  <c r="H52" i="37"/>
  <c r="X20" i="42"/>
  <c r="X25" i="42" s="1"/>
  <c r="Q20" i="42"/>
  <c r="Q25" i="42" s="1"/>
  <c r="Z22" i="42"/>
  <c r="Z25" i="42" s="1"/>
  <c r="W22" i="42"/>
  <c r="W25" i="42" s="1"/>
  <c r="V20" i="42"/>
  <c r="V25" i="42" s="1"/>
  <c r="N18" i="42"/>
  <c r="M25" i="42"/>
  <c r="U20" i="42"/>
  <c r="U25" i="42" s="1"/>
  <c r="R22" i="42"/>
  <c r="R25" i="42" s="1"/>
  <c r="S20" i="42"/>
  <c r="S25" i="42" s="1"/>
  <c r="AA18" i="42"/>
  <c r="O22" i="42"/>
  <c r="AA17" i="42"/>
  <c r="AB17" i="42" s="1"/>
  <c r="AB18" i="42" s="1"/>
  <c r="AB20" i="42" s="1"/>
  <c r="Y22" i="42"/>
  <c r="T20" i="42"/>
  <c r="T25" i="42" s="1"/>
  <c r="Y20" i="42"/>
  <c r="G25" i="42"/>
  <c r="O20" i="42"/>
  <c r="N22" i="42"/>
  <c r="N20" i="42"/>
  <c r="AD40" i="42"/>
  <c r="AC40" i="42"/>
  <c r="AA35" i="42"/>
  <c r="B25" i="42"/>
  <c r="AV53" i="37" l="1"/>
  <c r="AS53" i="37"/>
  <c r="AR53" i="37"/>
  <c r="AU53" i="37"/>
  <c r="AP53" i="37"/>
  <c r="AQ53" i="37"/>
  <c r="AZ53" i="37"/>
  <c r="AW53" i="37"/>
  <c r="AY53" i="37"/>
  <c r="AX53" i="37"/>
  <c r="AT53" i="37"/>
  <c r="AO53" i="37"/>
  <c r="AN41" i="37"/>
  <c r="AP41" i="37"/>
  <c r="AQ41" i="37"/>
  <c r="AO41" i="37"/>
  <c r="AR41" i="37"/>
  <c r="AS41" i="37"/>
  <c r="AT41" i="37"/>
  <c r="AU41" i="37"/>
  <c r="AV41" i="37"/>
  <c r="AW41" i="37"/>
  <c r="AX41" i="37"/>
  <c r="AY41" i="37"/>
  <c r="AZ41" i="37"/>
  <c r="AE38" i="37"/>
  <c r="O36" i="7"/>
  <c r="T36" i="7"/>
  <c r="AI38" i="37"/>
  <c r="U36" i="7"/>
  <c r="R36" i="7"/>
  <c r="S36" i="7"/>
  <c r="V36" i="7"/>
  <c r="X52" i="37"/>
  <c r="X54" i="37"/>
  <c r="AJ40" i="37"/>
  <c r="AJ38" i="37"/>
  <c r="T54" i="37"/>
  <c r="T52" i="37"/>
  <c r="Z34" i="7"/>
  <c r="P52" i="37"/>
  <c r="P54" i="37"/>
  <c r="U52" i="37"/>
  <c r="U54" i="37"/>
  <c r="AH40" i="37"/>
  <c r="Q54" i="37"/>
  <c r="Q52" i="37"/>
  <c r="AB40" i="37"/>
  <c r="AB38" i="37"/>
  <c r="Z54" i="37"/>
  <c r="AH49" i="37"/>
  <c r="Z52" i="37"/>
  <c r="AK49" i="37"/>
  <c r="AI49" i="37"/>
  <c r="AL49" i="37"/>
  <c r="AM49" i="37"/>
  <c r="AJ49" i="37"/>
  <c r="AF49" i="37"/>
  <c r="AC49" i="37"/>
  <c r="AG49" i="37"/>
  <c r="AD49" i="37"/>
  <c r="AE49" i="37"/>
  <c r="AB49" i="37"/>
  <c r="Y54" i="37"/>
  <c r="Y52" i="37"/>
  <c r="Q36" i="7"/>
  <c r="O54" i="37"/>
  <c r="O52" i="37"/>
  <c r="AF38" i="37"/>
  <c r="AF40" i="37"/>
  <c r="AD38" i="37"/>
  <c r="AD40" i="37"/>
  <c r="R54" i="37"/>
  <c r="R52" i="37"/>
  <c r="AC40" i="37"/>
  <c r="AC38" i="37"/>
  <c r="P34" i="7"/>
  <c r="AK38" i="37"/>
  <c r="AK40" i="37"/>
  <c r="V52" i="37"/>
  <c r="V54" i="37"/>
  <c r="Y36" i="7"/>
  <c r="W52" i="37"/>
  <c r="W54" i="37"/>
  <c r="AP35" i="37"/>
  <c r="AQ35" i="37"/>
  <c r="AR35" i="37"/>
  <c r="AS35" i="37"/>
  <c r="AT35" i="37"/>
  <c r="AT40" i="37" s="1"/>
  <c r="AU35" i="37"/>
  <c r="AV35" i="37"/>
  <c r="AW35" i="37"/>
  <c r="AW38" i="37" s="1"/>
  <c r="AO35" i="37"/>
  <c r="AX35" i="37"/>
  <c r="AX38" i="37" s="1"/>
  <c r="AM40" i="37"/>
  <c r="AY35" i="37"/>
  <c r="AY40" i="37" s="1"/>
  <c r="AZ35" i="37"/>
  <c r="AZ38" i="37" s="1"/>
  <c r="AM38" i="37"/>
  <c r="S52" i="37"/>
  <c r="S54" i="37"/>
  <c r="AG38" i="37"/>
  <c r="AL38" i="37"/>
  <c r="AL40" i="37"/>
  <c r="Y25" i="42"/>
  <c r="AA20" i="42"/>
  <c r="AA22" i="42"/>
  <c r="O25" i="42"/>
  <c r="AC17" i="42"/>
  <c r="AC18" i="42" s="1"/>
  <c r="AC20" i="42" s="1"/>
  <c r="N25" i="42"/>
  <c r="AB22" i="42"/>
  <c r="AB25" i="42" s="1"/>
  <c r="AB35" i="42"/>
  <c r="AY38" i="37" l="1"/>
  <c r="BA41" i="37"/>
  <c r="BB41" i="37" s="1"/>
  <c r="AW40" i="37"/>
  <c r="AZ40" i="37"/>
  <c r="AE54" i="37"/>
  <c r="AE52" i="37"/>
  <c r="AU38" i="37"/>
  <c r="AU40" i="37"/>
  <c r="AR40" i="37"/>
  <c r="AR38" i="37"/>
  <c r="AB52" i="37"/>
  <c r="AB54" i="37"/>
  <c r="AP38" i="37"/>
  <c r="AP40" i="37"/>
  <c r="AJ54" i="37"/>
  <c r="AJ52" i="37"/>
  <c r="AL54" i="37"/>
  <c r="AL52" i="37"/>
  <c r="AI54" i="37"/>
  <c r="AI52" i="37"/>
  <c r="AS38" i="37"/>
  <c r="AS40" i="37"/>
  <c r="AG54" i="37"/>
  <c r="AG52" i="37"/>
  <c r="AK52" i="37"/>
  <c r="AK54" i="37"/>
  <c r="AV40" i="37"/>
  <c r="AV38" i="37"/>
  <c r="AQ38" i="37"/>
  <c r="AQ40" i="37"/>
  <c r="AH52" i="37"/>
  <c r="AH54" i="37"/>
  <c r="AD54" i="37"/>
  <c r="AD52" i="37"/>
  <c r="AC52" i="37"/>
  <c r="AC54" i="37"/>
  <c r="AO40" i="37"/>
  <c r="AO38" i="37"/>
  <c r="AF54" i="37"/>
  <c r="AF52" i="37"/>
  <c r="AR49" i="37"/>
  <c r="AS49" i="37"/>
  <c r="AO49" i="37"/>
  <c r="AT49" i="37"/>
  <c r="AU49" i="37"/>
  <c r="AQ49" i="37"/>
  <c r="AM54" i="37"/>
  <c r="AV49" i="37"/>
  <c r="AM52" i="37"/>
  <c r="AX49" i="37"/>
  <c r="AW49" i="37"/>
  <c r="AY49" i="37"/>
  <c r="AP49" i="37"/>
  <c r="AZ49" i="37"/>
  <c r="AX40" i="37"/>
  <c r="AT38" i="37"/>
  <c r="AA25" i="42"/>
  <c r="AD17" i="42"/>
  <c r="AD18" i="42" s="1"/>
  <c r="AD22" i="42" s="1"/>
  <c r="AD35" i="42"/>
  <c r="AC35" i="42"/>
  <c r="AC22" i="42"/>
  <c r="AC25" i="42" s="1"/>
  <c r="AY54" i="37" l="1"/>
  <c r="AY52" i="37"/>
  <c r="AW52" i="37"/>
  <c r="AW54" i="37"/>
  <c r="AV54" i="37"/>
  <c r="AV52" i="37"/>
  <c r="AT54" i="37"/>
  <c r="AT52" i="37"/>
  <c r="AO52" i="37"/>
  <c r="AO54" i="37"/>
  <c r="AR52" i="37"/>
  <c r="AR54" i="37"/>
  <c r="AX54" i="37"/>
  <c r="AX52" i="37"/>
  <c r="AQ54" i="37"/>
  <c r="AQ52" i="37"/>
  <c r="AU52" i="37"/>
  <c r="AU54" i="37"/>
  <c r="AS54" i="37"/>
  <c r="AS52" i="37"/>
  <c r="AZ54" i="37"/>
  <c r="AZ52" i="37"/>
  <c r="AP54" i="37"/>
  <c r="AP52" i="37"/>
  <c r="AD20" i="42"/>
  <c r="AD25" i="42" s="1"/>
  <c r="P18" i="37" l="1"/>
  <c r="Q18" i="37"/>
  <c r="R18" i="37"/>
  <c r="S18" i="37"/>
  <c r="T18" i="37"/>
  <c r="U18" i="37"/>
  <c r="V18" i="37"/>
  <c r="W18" i="37"/>
  <c r="X18" i="37"/>
  <c r="Y18" i="37"/>
  <c r="Z18" i="37"/>
  <c r="P20" i="37"/>
  <c r="Q20" i="37"/>
  <c r="R20" i="37"/>
  <c r="S20" i="37"/>
  <c r="T20" i="37"/>
  <c r="U20" i="37"/>
  <c r="V20" i="37"/>
  <c r="W20" i="37"/>
  <c r="X20" i="37"/>
  <c r="Y20" i="37"/>
  <c r="Z20" i="37"/>
  <c r="P21" i="37"/>
  <c r="Q21" i="37"/>
  <c r="R21" i="37"/>
  <c r="S21" i="37"/>
  <c r="T21" i="37"/>
  <c r="U21" i="37"/>
  <c r="V21" i="37"/>
  <c r="W21" i="37"/>
  <c r="X21" i="37"/>
  <c r="Y21" i="37"/>
  <c r="Z21" i="37"/>
  <c r="O21" i="37"/>
  <c r="C21" i="37"/>
  <c r="D21" i="37"/>
  <c r="E21" i="37"/>
  <c r="F21" i="37"/>
  <c r="G21" i="37"/>
  <c r="H21" i="37"/>
  <c r="I21" i="37"/>
  <c r="J21" i="37"/>
  <c r="K21" i="37"/>
  <c r="L21" i="37"/>
  <c r="M21" i="37"/>
  <c r="B21" i="37"/>
  <c r="O20" i="37"/>
  <c r="O18" i="37"/>
  <c r="C18" i="37"/>
  <c r="D18" i="37"/>
  <c r="E18" i="37"/>
  <c r="F18" i="37"/>
  <c r="G18" i="37"/>
  <c r="H18" i="37"/>
  <c r="I18" i="37"/>
  <c r="J18" i="37"/>
  <c r="K18" i="37"/>
  <c r="L18" i="37"/>
  <c r="M18" i="37"/>
  <c r="C20" i="37"/>
  <c r="D20" i="37"/>
  <c r="E20" i="37"/>
  <c r="F20" i="37"/>
  <c r="G20" i="37"/>
  <c r="H20" i="37"/>
  <c r="I20" i="37"/>
  <c r="J20" i="37"/>
  <c r="K20" i="37"/>
  <c r="L20" i="37"/>
  <c r="M20" i="37"/>
  <c r="B20" i="37" l="1"/>
  <c r="A1" i="38" l="1"/>
  <c r="A1" i="26"/>
  <c r="D10" i="26" l="1"/>
  <c r="D11" i="26"/>
  <c r="E11" i="26" s="1"/>
  <c r="D12" i="26"/>
  <c r="E12" i="26" s="1"/>
  <c r="B18" i="26" l="1"/>
  <c r="B129" i="7"/>
  <c r="P129" i="7"/>
  <c r="Q129" i="7"/>
  <c r="R129" i="7"/>
  <c r="S129" i="7"/>
  <c r="T129" i="7"/>
  <c r="U129" i="7"/>
  <c r="V129" i="7"/>
  <c r="W129" i="7"/>
  <c r="X129" i="7"/>
  <c r="Y129" i="7"/>
  <c r="Z129" i="7"/>
  <c r="C129" i="7"/>
  <c r="D129" i="7"/>
  <c r="E129" i="7"/>
  <c r="F129" i="7"/>
  <c r="G129" i="7"/>
  <c r="H129" i="7"/>
  <c r="I129" i="7"/>
  <c r="J129" i="7"/>
  <c r="K129" i="7"/>
  <c r="L129" i="7"/>
  <c r="M129" i="7"/>
  <c r="B91" i="26" l="1"/>
  <c r="D13" i="38" l="1"/>
  <c r="R22" i="37" l="1"/>
  <c r="S22" i="37"/>
  <c r="T22" i="37"/>
  <c r="U22" i="37"/>
  <c r="V22" i="37"/>
  <c r="W22" i="37"/>
  <c r="X22" i="37"/>
  <c r="Y22" i="37"/>
  <c r="Z22" i="37"/>
  <c r="Q22" i="37"/>
  <c r="P22" i="37"/>
  <c r="C22" i="37"/>
  <c r="D22" i="37"/>
  <c r="H22" i="37"/>
  <c r="K22" i="37"/>
  <c r="L22" i="37"/>
  <c r="I22" i="37"/>
  <c r="J22" i="37"/>
  <c r="B22" i="37"/>
  <c r="O22" i="37"/>
  <c r="F22" i="37"/>
  <c r="E22" i="37"/>
  <c r="G22" i="37"/>
  <c r="M22" i="37"/>
  <c r="M43" i="37"/>
  <c r="L43" i="37"/>
  <c r="K43" i="37"/>
  <c r="J43" i="37"/>
  <c r="I43" i="37"/>
  <c r="H43" i="37"/>
  <c r="G43" i="37"/>
  <c r="F43" i="37"/>
  <c r="E43" i="37"/>
  <c r="D43" i="37"/>
  <c r="C43" i="37"/>
  <c r="B43" i="37"/>
  <c r="P43" i="37" l="1"/>
  <c r="Q43" i="37"/>
  <c r="R43" i="37"/>
  <c r="S43" i="37"/>
  <c r="T43" i="37"/>
  <c r="U43" i="37"/>
  <c r="V43" i="37"/>
  <c r="W43" i="37"/>
  <c r="X43" i="37"/>
  <c r="Y43" i="37"/>
  <c r="Z43" i="37"/>
  <c r="F30" i="38"/>
  <c r="F27" i="37" s="1"/>
  <c r="F29" i="37" s="1"/>
  <c r="G30" i="38"/>
  <c r="G27" i="37" s="1"/>
  <c r="G29" i="37" s="1"/>
  <c r="H30" i="38"/>
  <c r="H27" i="37" s="1"/>
  <c r="H29" i="37" s="1"/>
  <c r="J30" i="38"/>
  <c r="J27" i="37" s="1"/>
  <c r="J29" i="37" s="1"/>
  <c r="K30" i="38"/>
  <c r="K27" i="37" s="1"/>
  <c r="K29" i="37" s="1"/>
  <c r="I30" i="38"/>
  <c r="I27" i="37" s="1"/>
  <c r="I29" i="37" s="1"/>
  <c r="D40" i="38"/>
  <c r="Q27" i="37" s="1"/>
  <c r="Q29" i="37" s="1"/>
  <c r="C40" i="38"/>
  <c r="P27" i="37" s="1"/>
  <c r="P29" i="37" s="1"/>
  <c r="E40" i="38"/>
  <c r="R27" i="37" s="1"/>
  <c r="R29" i="37" s="1"/>
  <c r="F40" i="38"/>
  <c r="S27" i="37" s="1"/>
  <c r="S29" i="37" s="1"/>
  <c r="L30" i="38"/>
  <c r="L27" i="37" s="1"/>
  <c r="L29" i="37" s="1"/>
  <c r="M30" i="38"/>
  <c r="M27" i="37" s="1"/>
  <c r="M29" i="37" s="1"/>
  <c r="C30" i="38"/>
  <c r="G40" i="38"/>
  <c r="T27" i="37" s="1"/>
  <c r="T29" i="37" s="1"/>
  <c r="H40" i="38"/>
  <c r="U27" i="37" s="1"/>
  <c r="U29" i="37" s="1"/>
  <c r="D30" i="38"/>
  <c r="I40" i="38"/>
  <c r="V27" i="37" s="1"/>
  <c r="V29" i="37" s="1"/>
  <c r="B30" i="38"/>
  <c r="J40" i="38"/>
  <c r="W27" i="37" s="1"/>
  <c r="W29" i="37" s="1"/>
  <c r="B40" i="38"/>
  <c r="O27" i="37" s="1"/>
  <c r="E30" i="38"/>
  <c r="E27" i="37" s="1"/>
  <c r="E29" i="37" s="1"/>
  <c r="K40" i="38"/>
  <c r="X27" i="37" s="1"/>
  <c r="X29" i="37" s="1"/>
  <c r="L40" i="38"/>
  <c r="Y27" i="37" s="1"/>
  <c r="Y29" i="37" s="1"/>
  <c r="M40" i="38"/>
  <c r="Z27" i="37" s="1"/>
  <c r="AL27" i="37" s="1"/>
  <c r="S19" i="37"/>
  <c r="T19" i="37"/>
  <c r="U19" i="37"/>
  <c r="V19" i="37"/>
  <c r="W19" i="37"/>
  <c r="X19" i="37"/>
  <c r="Y19" i="37"/>
  <c r="Z19" i="37"/>
  <c r="P19" i="37"/>
  <c r="Q19" i="37"/>
  <c r="R19" i="37"/>
  <c r="H19" i="37"/>
  <c r="L19" i="37"/>
  <c r="M19" i="37"/>
  <c r="C19" i="37"/>
  <c r="I19" i="37"/>
  <c r="D19" i="37"/>
  <c r="K19" i="37"/>
  <c r="E19" i="37"/>
  <c r="J19" i="37"/>
  <c r="O19" i="37"/>
  <c r="F19" i="37"/>
  <c r="G19" i="37"/>
  <c r="B19" i="37"/>
  <c r="C27" i="37"/>
  <c r="C29" i="37" s="1"/>
  <c r="B27" i="37"/>
  <c r="B29" i="37" s="1"/>
  <c r="D27" i="37"/>
  <c r="D29" i="37" s="1"/>
  <c r="O43" i="37"/>
  <c r="E10" i="26"/>
  <c r="B18" i="37"/>
  <c r="C11" i="26"/>
  <c r="M87" i="7"/>
  <c r="Z87" i="7" s="1"/>
  <c r="L87" i="7"/>
  <c r="K87" i="7"/>
  <c r="J87" i="7"/>
  <c r="I87" i="7"/>
  <c r="H87" i="7"/>
  <c r="G87" i="7"/>
  <c r="F87" i="7"/>
  <c r="E87" i="7"/>
  <c r="D87" i="7"/>
  <c r="C87" i="7"/>
  <c r="B87" i="7"/>
  <c r="M108" i="7"/>
  <c r="O108" i="7" s="1"/>
  <c r="L108" i="7"/>
  <c r="K108" i="7"/>
  <c r="J108" i="7"/>
  <c r="I108" i="7"/>
  <c r="H108" i="7"/>
  <c r="G108" i="7"/>
  <c r="F108" i="7"/>
  <c r="E108" i="7"/>
  <c r="D108" i="7"/>
  <c r="C108" i="7"/>
  <c r="B108" i="7"/>
  <c r="M84" i="7"/>
  <c r="Z84" i="7" s="1"/>
  <c r="L84" i="7"/>
  <c r="K84" i="7"/>
  <c r="J84" i="7"/>
  <c r="I84" i="7"/>
  <c r="H84" i="7"/>
  <c r="G84" i="7"/>
  <c r="F84" i="7"/>
  <c r="E84" i="7"/>
  <c r="D84" i="7"/>
  <c r="C84" i="7"/>
  <c r="B84" i="7"/>
  <c r="AA67" i="37"/>
  <c r="AN67" i="37" s="1"/>
  <c r="BA67" i="37"/>
  <c r="BB67" i="37" s="1"/>
  <c r="N67" i="37"/>
  <c r="B107" i="38"/>
  <c r="G124" i="37" s="1"/>
  <c r="B102" i="38"/>
  <c r="I119" i="37" s="1"/>
  <c r="B95" i="38"/>
  <c r="C107" i="37" s="1"/>
  <c r="B93" i="38"/>
  <c r="H105" i="37" s="1"/>
  <c r="F82" i="37"/>
  <c r="F84" i="37" s="1"/>
  <c r="BA132" i="37"/>
  <c r="BB132" i="37" s="1"/>
  <c r="AA132" i="37"/>
  <c r="AN132" i="37" s="1"/>
  <c r="N132" i="37"/>
  <c r="M126" i="37"/>
  <c r="V126" i="37" s="1"/>
  <c r="L126" i="37"/>
  <c r="K126" i="37"/>
  <c r="J126" i="37"/>
  <c r="I126" i="37"/>
  <c r="H126" i="37"/>
  <c r="G126" i="37"/>
  <c r="F126" i="37"/>
  <c r="E126" i="37"/>
  <c r="D126" i="37"/>
  <c r="C126" i="37"/>
  <c r="B126" i="37"/>
  <c r="M125" i="37"/>
  <c r="P125" i="37" s="1"/>
  <c r="L125" i="37"/>
  <c r="K125" i="37"/>
  <c r="J125" i="37"/>
  <c r="I125" i="37"/>
  <c r="H125" i="37"/>
  <c r="G125" i="37"/>
  <c r="F125" i="37"/>
  <c r="E125" i="37"/>
  <c r="D125" i="37"/>
  <c r="C125" i="37"/>
  <c r="B125" i="37"/>
  <c r="M123" i="37"/>
  <c r="Z123" i="37" s="1"/>
  <c r="L123" i="37"/>
  <c r="K123" i="37"/>
  <c r="J123" i="37"/>
  <c r="I123" i="37"/>
  <c r="H123" i="37"/>
  <c r="G123" i="37"/>
  <c r="F123" i="37"/>
  <c r="E123" i="37"/>
  <c r="D123" i="37"/>
  <c r="C123" i="37"/>
  <c r="B123" i="37"/>
  <c r="M122" i="37"/>
  <c r="W122" i="37" s="1"/>
  <c r="L122" i="37"/>
  <c r="K122" i="37"/>
  <c r="J122" i="37"/>
  <c r="I122" i="37"/>
  <c r="H122" i="37"/>
  <c r="G122" i="37"/>
  <c r="F122" i="37"/>
  <c r="E122" i="37"/>
  <c r="D122" i="37"/>
  <c r="C122" i="37"/>
  <c r="B122" i="37"/>
  <c r="M121" i="37"/>
  <c r="Q121" i="37" s="1"/>
  <c r="L121" i="37"/>
  <c r="K121" i="37"/>
  <c r="J121" i="37"/>
  <c r="I121" i="37"/>
  <c r="H121" i="37"/>
  <c r="G121" i="37"/>
  <c r="F121" i="37"/>
  <c r="E121" i="37"/>
  <c r="D121" i="37"/>
  <c r="C121" i="37"/>
  <c r="B121" i="37"/>
  <c r="M120" i="37"/>
  <c r="Y120" i="37" s="1"/>
  <c r="L120" i="37"/>
  <c r="K120" i="37"/>
  <c r="J120" i="37"/>
  <c r="I120" i="37"/>
  <c r="H120" i="37"/>
  <c r="G120" i="37"/>
  <c r="F120" i="37"/>
  <c r="E120" i="37"/>
  <c r="D120" i="37"/>
  <c r="C120" i="37"/>
  <c r="B120" i="37"/>
  <c r="M114" i="37"/>
  <c r="V114" i="37" s="1"/>
  <c r="L114" i="37"/>
  <c r="K114" i="37"/>
  <c r="J114" i="37"/>
  <c r="I114" i="37"/>
  <c r="H114" i="37"/>
  <c r="G114" i="37"/>
  <c r="F114" i="37"/>
  <c r="E114" i="37"/>
  <c r="D114" i="37"/>
  <c r="C114" i="37"/>
  <c r="B114" i="37"/>
  <c r="M113" i="37"/>
  <c r="Z113" i="37" s="1"/>
  <c r="L113" i="37"/>
  <c r="K113" i="37"/>
  <c r="J113" i="37"/>
  <c r="I113" i="37"/>
  <c r="H113" i="37"/>
  <c r="G113" i="37"/>
  <c r="F113" i="37"/>
  <c r="E113" i="37"/>
  <c r="D113" i="37"/>
  <c r="C113" i="37"/>
  <c r="B113" i="37"/>
  <c r="M106" i="37"/>
  <c r="Y106" i="37" s="1"/>
  <c r="L106" i="37"/>
  <c r="K106" i="37"/>
  <c r="J106" i="37"/>
  <c r="I106" i="37"/>
  <c r="H106" i="37"/>
  <c r="G106" i="37"/>
  <c r="F106" i="37"/>
  <c r="E106" i="37"/>
  <c r="D106" i="37"/>
  <c r="C106" i="37"/>
  <c r="B106" i="37"/>
  <c r="M104" i="37"/>
  <c r="V104" i="37" s="1"/>
  <c r="L104" i="37"/>
  <c r="K104" i="37"/>
  <c r="J104" i="37"/>
  <c r="I104" i="37"/>
  <c r="H104" i="37"/>
  <c r="G104" i="37"/>
  <c r="F104" i="37"/>
  <c r="E104" i="37"/>
  <c r="D104" i="37"/>
  <c r="C104" i="37"/>
  <c r="B104" i="37"/>
  <c r="M99" i="37"/>
  <c r="T99" i="37" s="1"/>
  <c r="L99" i="37"/>
  <c r="K99" i="37"/>
  <c r="J99" i="37"/>
  <c r="I99" i="37"/>
  <c r="H99" i="37"/>
  <c r="G99" i="37"/>
  <c r="F99" i="37"/>
  <c r="E99" i="37"/>
  <c r="D99" i="37"/>
  <c r="C99" i="37"/>
  <c r="B99" i="37"/>
  <c r="M98" i="37"/>
  <c r="Z98" i="37" s="1"/>
  <c r="L98" i="37"/>
  <c r="K98" i="37"/>
  <c r="J98" i="37"/>
  <c r="I98" i="37"/>
  <c r="H98" i="37"/>
  <c r="G98" i="37"/>
  <c r="F98" i="37"/>
  <c r="E98" i="37"/>
  <c r="D98" i="37"/>
  <c r="C98" i="37"/>
  <c r="B98" i="37"/>
  <c r="M97" i="37"/>
  <c r="Z97" i="37" s="1"/>
  <c r="L97" i="37"/>
  <c r="K97" i="37"/>
  <c r="J97" i="37"/>
  <c r="I97" i="37"/>
  <c r="H97" i="37"/>
  <c r="G97" i="37"/>
  <c r="F97" i="37"/>
  <c r="E97" i="37"/>
  <c r="D97" i="37"/>
  <c r="C97" i="37"/>
  <c r="B97" i="37"/>
  <c r="N93" i="37"/>
  <c r="M92" i="37"/>
  <c r="S92" i="37" s="1"/>
  <c r="L92" i="37"/>
  <c r="K92" i="37"/>
  <c r="J92" i="37"/>
  <c r="I92" i="37"/>
  <c r="H92" i="37"/>
  <c r="G92" i="37"/>
  <c r="F92" i="37"/>
  <c r="E92" i="37"/>
  <c r="D92" i="37"/>
  <c r="C92" i="37"/>
  <c r="B92" i="37"/>
  <c r="M91" i="37"/>
  <c r="O91" i="37" s="1"/>
  <c r="L91" i="37"/>
  <c r="K91" i="37"/>
  <c r="J91" i="37"/>
  <c r="I91" i="37"/>
  <c r="H91" i="37"/>
  <c r="G91" i="37"/>
  <c r="F91" i="37"/>
  <c r="E91" i="37"/>
  <c r="D91" i="37"/>
  <c r="C91" i="37"/>
  <c r="B91" i="37"/>
  <c r="M90" i="37"/>
  <c r="R90" i="37" s="1"/>
  <c r="L90" i="37"/>
  <c r="K90" i="37"/>
  <c r="J90" i="37"/>
  <c r="I90" i="37"/>
  <c r="H90" i="37"/>
  <c r="G90" i="37"/>
  <c r="F90" i="37"/>
  <c r="E90" i="37"/>
  <c r="D90" i="37"/>
  <c r="C90" i="37"/>
  <c r="B90" i="37"/>
  <c r="M89" i="37"/>
  <c r="R89" i="37" s="1"/>
  <c r="L89" i="37"/>
  <c r="K89" i="37"/>
  <c r="J89" i="37"/>
  <c r="I89" i="37"/>
  <c r="H89" i="37"/>
  <c r="G89" i="37"/>
  <c r="F89" i="37"/>
  <c r="E89" i="37"/>
  <c r="D89" i="37"/>
  <c r="C89" i="37"/>
  <c r="B89" i="37"/>
  <c r="M88" i="37"/>
  <c r="W88" i="37" s="1"/>
  <c r="L88" i="37"/>
  <c r="K88" i="37"/>
  <c r="J88" i="37"/>
  <c r="I88" i="37"/>
  <c r="H88" i="37"/>
  <c r="G88" i="37"/>
  <c r="F88" i="37"/>
  <c r="E88" i="37"/>
  <c r="D88" i="37"/>
  <c r="C88" i="37"/>
  <c r="B88" i="37"/>
  <c r="M87" i="37"/>
  <c r="Z87" i="37" s="1"/>
  <c r="L87" i="37"/>
  <c r="K87" i="37"/>
  <c r="J87" i="37"/>
  <c r="I87" i="37"/>
  <c r="H87" i="37"/>
  <c r="G87" i="37"/>
  <c r="F87" i="37"/>
  <c r="E87" i="37"/>
  <c r="D87" i="37"/>
  <c r="C87" i="37"/>
  <c r="B87" i="37"/>
  <c r="O72" i="37"/>
  <c r="M66" i="37"/>
  <c r="S66" i="37" s="1"/>
  <c r="L66" i="37"/>
  <c r="K66" i="37"/>
  <c r="J66" i="37"/>
  <c r="I66" i="37"/>
  <c r="H66" i="37"/>
  <c r="G66" i="37"/>
  <c r="F66" i="37"/>
  <c r="E66" i="37"/>
  <c r="D66" i="37"/>
  <c r="C66" i="37"/>
  <c r="B66" i="37"/>
  <c r="M64" i="37"/>
  <c r="R64" i="37" s="1"/>
  <c r="L64" i="37"/>
  <c r="K64" i="37"/>
  <c r="J64" i="37"/>
  <c r="I64" i="37"/>
  <c r="H64" i="37"/>
  <c r="G64" i="37"/>
  <c r="F64" i="37"/>
  <c r="E64" i="37"/>
  <c r="D64" i="37"/>
  <c r="C64" i="37"/>
  <c r="B64" i="37"/>
  <c r="M63" i="37"/>
  <c r="Y63" i="37" s="1"/>
  <c r="L63" i="37"/>
  <c r="K63" i="37"/>
  <c r="J63" i="37"/>
  <c r="I63" i="37"/>
  <c r="H63" i="37"/>
  <c r="G63" i="37"/>
  <c r="F63" i="37"/>
  <c r="E63" i="37"/>
  <c r="D63" i="37"/>
  <c r="C63" i="37"/>
  <c r="B63" i="37"/>
  <c r="M62" i="37"/>
  <c r="W62" i="37" s="1"/>
  <c r="L62" i="37"/>
  <c r="K62" i="37"/>
  <c r="J62" i="37"/>
  <c r="I62" i="37"/>
  <c r="H62" i="37"/>
  <c r="G62" i="37"/>
  <c r="F62" i="37"/>
  <c r="E62" i="37"/>
  <c r="D62" i="37"/>
  <c r="C62" i="37"/>
  <c r="B62" i="37"/>
  <c r="M61" i="37"/>
  <c r="Q61" i="37" s="1"/>
  <c r="L61" i="37"/>
  <c r="K61" i="37"/>
  <c r="J61" i="37"/>
  <c r="I61" i="37"/>
  <c r="H61" i="37"/>
  <c r="G61" i="37"/>
  <c r="F61" i="37"/>
  <c r="E61" i="37"/>
  <c r="D61" i="37"/>
  <c r="C61" i="37"/>
  <c r="B61" i="37"/>
  <c r="B56" i="37"/>
  <c r="M44" i="37"/>
  <c r="L44" i="37"/>
  <c r="K44" i="37"/>
  <c r="J44" i="37"/>
  <c r="I44" i="37"/>
  <c r="H44" i="37"/>
  <c r="G44" i="37"/>
  <c r="F44" i="37"/>
  <c r="E44" i="37"/>
  <c r="D44" i="37"/>
  <c r="C44" i="37"/>
  <c r="B44" i="37"/>
  <c r="M42" i="37"/>
  <c r="L42" i="37"/>
  <c r="K42" i="37"/>
  <c r="J42" i="37"/>
  <c r="I42" i="37"/>
  <c r="H42" i="37"/>
  <c r="G42" i="37"/>
  <c r="F42" i="37"/>
  <c r="E42" i="37"/>
  <c r="D42" i="37"/>
  <c r="C42" i="37"/>
  <c r="B42" i="37"/>
  <c r="N23" i="37"/>
  <c r="AZ16" i="37"/>
  <c r="AY16" i="37"/>
  <c r="AX16" i="37"/>
  <c r="AW16" i="37"/>
  <c r="AV16" i="37"/>
  <c r="AU16" i="37"/>
  <c r="AT16" i="37"/>
  <c r="AS16" i="37"/>
  <c r="AR16" i="37"/>
  <c r="AQ16" i="37"/>
  <c r="AP16" i="37"/>
  <c r="AO16" i="37"/>
  <c r="AM16" i="37"/>
  <c r="AL16" i="37"/>
  <c r="AK16" i="37"/>
  <c r="AJ16" i="37"/>
  <c r="AI16" i="37"/>
  <c r="AH16" i="37"/>
  <c r="AG16" i="37"/>
  <c r="AF16" i="37"/>
  <c r="AE16" i="37"/>
  <c r="AD16" i="37"/>
  <c r="AC16" i="37"/>
  <c r="AB16" i="37"/>
  <c r="BA14" i="37"/>
  <c r="AN14" i="37"/>
  <c r="BA13" i="37"/>
  <c r="AN13" i="37"/>
  <c r="AA13" i="37"/>
  <c r="BA12" i="37"/>
  <c r="AN12" i="37"/>
  <c r="AA12" i="37"/>
  <c r="BA11" i="37"/>
  <c r="BB11" i="37" s="1"/>
  <c r="AN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M11" i="37"/>
  <c r="L11" i="37"/>
  <c r="K11" i="37"/>
  <c r="J11" i="37"/>
  <c r="I11" i="37"/>
  <c r="H11" i="37"/>
  <c r="G11" i="37"/>
  <c r="F11" i="37"/>
  <c r="E11" i="37"/>
  <c r="D11" i="37"/>
  <c r="C11" i="37"/>
  <c r="B11" i="37"/>
  <c r="BA10" i="37"/>
  <c r="BB10" i="37" s="1"/>
  <c r="AN10" i="37"/>
  <c r="Z10" i="37"/>
  <c r="Y10" i="37"/>
  <c r="X10" i="37"/>
  <c r="W10" i="37"/>
  <c r="V10" i="37"/>
  <c r="U10" i="37"/>
  <c r="T10" i="37"/>
  <c r="S10" i="37"/>
  <c r="R10" i="37"/>
  <c r="Q10" i="37"/>
  <c r="P10" i="37"/>
  <c r="O10" i="37"/>
  <c r="M10" i="37"/>
  <c r="L10" i="37"/>
  <c r="K10" i="37"/>
  <c r="J10" i="37"/>
  <c r="I10" i="37"/>
  <c r="H10" i="37"/>
  <c r="G10" i="37"/>
  <c r="F10" i="37"/>
  <c r="E10" i="37"/>
  <c r="D10" i="37"/>
  <c r="C10" i="37"/>
  <c r="B10" i="37"/>
  <c r="BA9" i="37"/>
  <c r="AN9" i="37"/>
  <c r="Z9" i="37"/>
  <c r="Y9" i="37"/>
  <c r="X9" i="37"/>
  <c r="W9" i="37"/>
  <c r="V9" i="37"/>
  <c r="U9" i="37"/>
  <c r="T9" i="37"/>
  <c r="S9" i="37"/>
  <c r="R9" i="37"/>
  <c r="Q9" i="37"/>
  <c r="P9" i="37"/>
  <c r="O9" i="37"/>
  <c r="M9" i="37"/>
  <c r="L9" i="37"/>
  <c r="K9" i="37"/>
  <c r="J9" i="37"/>
  <c r="I9" i="37"/>
  <c r="H9" i="37"/>
  <c r="G9" i="37"/>
  <c r="F9" i="37"/>
  <c r="E9" i="37"/>
  <c r="D9" i="37"/>
  <c r="C9" i="37"/>
  <c r="B9" i="37"/>
  <c r="BA8" i="37"/>
  <c r="BB8" i="37" s="1"/>
  <c r="AN8" i="37"/>
  <c r="Z8" i="37"/>
  <c r="Y8" i="37"/>
  <c r="X8" i="37"/>
  <c r="W8" i="37"/>
  <c r="V8" i="37"/>
  <c r="U8" i="37"/>
  <c r="T8" i="37"/>
  <c r="S8" i="37"/>
  <c r="R8" i="37"/>
  <c r="Q8" i="37"/>
  <c r="P8" i="37"/>
  <c r="O8" i="37"/>
  <c r="M8" i="37"/>
  <c r="L8" i="37"/>
  <c r="K8" i="37"/>
  <c r="J8" i="37"/>
  <c r="I8" i="37"/>
  <c r="H8" i="37"/>
  <c r="G8" i="37"/>
  <c r="F8" i="37"/>
  <c r="E8" i="37"/>
  <c r="D8" i="37"/>
  <c r="C8" i="37"/>
  <c r="B8" i="37"/>
  <c r="N12" i="37"/>
  <c r="N43" i="37"/>
  <c r="N13" i="37"/>
  <c r="AA62" i="7"/>
  <c r="AB62" i="7" s="1"/>
  <c r="AC62" i="7" s="1"/>
  <c r="AD62" i="7" s="1"/>
  <c r="C62" i="7"/>
  <c r="D62" i="7"/>
  <c r="E62" i="7"/>
  <c r="F62" i="7"/>
  <c r="G62" i="7"/>
  <c r="H62" i="7"/>
  <c r="I62" i="7"/>
  <c r="B62" i="7"/>
  <c r="E27" i="21"/>
  <c r="D27" i="21"/>
  <c r="F27" i="21"/>
  <c r="G27" i="21"/>
  <c r="H27" i="21"/>
  <c r="I27" i="21"/>
  <c r="J27" i="21"/>
  <c r="K27" i="21"/>
  <c r="L27" i="21"/>
  <c r="M27" i="21"/>
  <c r="N27" i="21"/>
  <c r="C27" i="21"/>
  <c r="C109" i="7"/>
  <c r="D109" i="7"/>
  <c r="E109" i="7"/>
  <c r="F109" i="7"/>
  <c r="G109" i="7"/>
  <c r="H109" i="7"/>
  <c r="I109" i="7"/>
  <c r="J109" i="7"/>
  <c r="K109" i="7"/>
  <c r="L109" i="7"/>
  <c r="M109" i="7"/>
  <c r="U109" i="7" s="1"/>
  <c r="C115" i="7"/>
  <c r="D115" i="7"/>
  <c r="E115" i="7"/>
  <c r="F115" i="7"/>
  <c r="G115" i="7"/>
  <c r="H115" i="7"/>
  <c r="I115" i="7"/>
  <c r="J115" i="7"/>
  <c r="K115" i="7"/>
  <c r="L115" i="7"/>
  <c r="M115" i="7"/>
  <c r="Q115" i="7" s="1"/>
  <c r="C116" i="7"/>
  <c r="D116" i="7"/>
  <c r="E116" i="7"/>
  <c r="F116" i="7"/>
  <c r="G116" i="7"/>
  <c r="H116" i="7"/>
  <c r="I116" i="7"/>
  <c r="J116" i="7"/>
  <c r="K116" i="7"/>
  <c r="L116" i="7"/>
  <c r="M116" i="7"/>
  <c r="R116" i="7" s="1"/>
  <c r="C117" i="7"/>
  <c r="D117" i="7"/>
  <c r="E117" i="7"/>
  <c r="F117" i="7"/>
  <c r="G117" i="7"/>
  <c r="H117" i="7"/>
  <c r="I117" i="7"/>
  <c r="J117" i="7"/>
  <c r="K117" i="7"/>
  <c r="L117" i="7"/>
  <c r="M117" i="7"/>
  <c r="U117" i="7" s="1"/>
  <c r="C110" i="7"/>
  <c r="D110" i="7"/>
  <c r="E110" i="7"/>
  <c r="F110" i="7"/>
  <c r="G110" i="7"/>
  <c r="H110" i="7"/>
  <c r="I110" i="7"/>
  <c r="J110" i="7"/>
  <c r="K110" i="7"/>
  <c r="L110" i="7"/>
  <c r="M110" i="7"/>
  <c r="P110" i="7" s="1"/>
  <c r="C118" i="7"/>
  <c r="D118" i="7"/>
  <c r="E118" i="7"/>
  <c r="F118" i="7"/>
  <c r="G118" i="7"/>
  <c r="H118" i="7"/>
  <c r="I118" i="7"/>
  <c r="J118" i="7"/>
  <c r="K118" i="7"/>
  <c r="L118" i="7"/>
  <c r="M118" i="7"/>
  <c r="P118" i="7" s="1"/>
  <c r="C119" i="7"/>
  <c r="D119" i="7"/>
  <c r="E119" i="7"/>
  <c r="F119" i="7"/>
  <c r="G119" i="7"/>
  <c r="H119" i="7"/>
  <c r="I119" i="7"/>
  <c r="J119" i="7"/>
  <c r="K119" i="7"/>
  <c r="L119" i="7"/>
  <c r="M119" i="7"/>
  <c r="Y119" i="7" s="1"/>
  <c r="C120" i="7"/>
  <c r="D120" i="7"/>
  <c r="E120" i="7"/>
  <c r="F120" i="7"/>
  <c r="G120" i="7"/>
  <c r="H120" i="7"/>
  <c r="I120" i="7"/>
  <c r="J120" i="7"/>
  <c r="K120" i="7"/>
  <c r="L120" i="7"/>
  <c r="M120" i="7"/>
  <c r="S120" i="7" s="1"/>
  <c r="C122" i="7"/>
  <c r="D122" i="7"/>
  <c r="E122" i="7"/>
  <c r="F122" i="7"/>
  <c r="G122" i="7"/>
  <c r="H122" i="7"/>
  <c r="I122" i="7"/>
  <c r="J122" i="7"/>
  <c r="K122" i="7"/>
  <c r="L122" i="7"/>
  <c r="M122" i="7"/>
  <c r="B115" i="7"/>
  <c r="B116" i="7"/>
  <c r="B117" i="7"/>
  <c r="B110" i="7"/>
  <c r="B118" i="7"/>
  <c r="B119" i="7"/>
  <c r="B120" i="7"/>
  <c r="B122" i="7"/>
  <c r="B109" i="7"/>
  <c r="C86" i="7"/>
  <c r="D86" i="7"/>
  <c r="E86" i="7"/>
  <c r="F86" i="7"/>
  <c r="G86" i="7"/>
  <c r="H86" i="7"/>
  <c r="I86" i="7"/>
  <c r="J86" i="7"/>
  <c r="K86" i="7"/>
  <c r="L86" i="7"/>
  <c r="M86" i="7"/>
  <c r="Q86" i="7" s="1"/>
  <c r="B86" i="7"/>
  <c r="C61" i="7"/>
  <c r="D61" i="7"/>
  <c r="E61" i="7"/>
  <c r="F61" i="7"/>
  <c r="G61" i="7"/>
  <c r="H61" i="7"/>
  <c r="I61" i="7"/>
  <c r="J61" i="7"/>
  <c r="K61" i="7"/>
  <c r="L61" i="7"/>
  <c r="M61" i="7"/>
  <c r="Y61" i="7" s="1"/>
  <c r="B61" i="7"/>
  <c r="C82" i="7"/>
  <c r="D82" i="7"/>
  <c r="E82" i="7"/>
  <c r="F82" i="7"/>
  <c r="G82" i="7"/>
  <c r="H82" i="7"/>
  <c r="I82" i="7"/>
  <c r="J82" i="7"/>
  <c r="K82" i="7"/>
  <c r="L82" i="7"/>
  <c r="M82" i="7"/>
  <c r="O82" i="7" s="1"/>
  <c r="C83" i="7"/>
  <c r="D83" i="7"/>
  <c r="E83" i="7"/>
  <c r="F83" i="7"/>
  <c r="G83" i="7"/>
  <c r="H83" i="7"/>
  <c r="I83" i="7"/>
  <c r="J83" i="7"/>
  <c r="K83" i="7"/>
  <c r="L83" i="7"/>
  <c r="M83" i="7"/>
  <c r="T83" i="7" s="1"/>
  <c r="C85" i="7"/>
  <c r="D85" i="7"/>
  <c r="E85" i="7"/>
  <c r="F85" i="7"/>
  <c r="G85" i="7"/>
  <c r="H85" i="7"/>
  <c r="I85" i="7"/>
  <c r="J85" i="7"/>
  <c r="K85" i="7"/>
  <c r="L85" i="7"/>
  <c r="M85" i="7"/>
  <c r="V85" i="7" s="1"/>
  <c r="B83" i="7"/>
  <c r="B82" i="7"/>
  <c r="B85" i="7"/>
  <c r="C92" i="7"/>
  <c r="D92" i="7"/>
  <c r="E92" i="7"/>
  <c r="F92" i="7"/>
  <c r="G92" i="7"/>
  <c r="H92" i="7"/>
  <c r="I92" i="7"/>
  <c r="J92" i="7"/>
  <c r="K92" i="7"/>
  <c r="L92" i="7"/>
  <c r="M92" i="7"/>
  <c r="R92" i="7" s="1"/>
  <c r="C93" i="7"/>
  <c r="D93" i="7"/>
  <c r="E93" i="7"/>
  <c r="F93" i="7"/>
  <c r="G93" i="7"/>
  <c r="H93" i="7"/>
  <c r="I93" i="7"/>
  <c r="J93" i="7"/>
  <c r="K93" i="7"/>
  <c r="L93" i="7"/>
  <c r="M93" i="7"/>
  <c r="Q93" i="7" s="1"/>
  <c r="C94" i="7"/>
  <c r="D94" i="7"/>
  <c r="E94" i="7"/>
  <c r="F94" i="7"/>
  <c r="G94" i="7"/>
  <c r="H94" i="7"/>
  <c r="I94" i="7"/>
  <c r="J94" i="7"/>
  <c r="K94" i="7"/>
  <c r="L94" i="7"/>
  <c r="M94" i="7"/>
  <c r="W94" i="7" s="1"/>
  <c r="B94" i="7"/>
  <c r="B93" i="7"/>
  <c r="B92" i="7"/>
  <c r="F56" i="7"/>
  <c r="G56" i="7"/>
  <c r="H56" i="7"/>
  <c r="I56" i="7"/>
  <c r="J56" i="7"/>
  <c r="K56" i="7"/>
  <c r="L56" i="7"/>
  <c r="M56" i="7"/>
  <c r="S56" i="7" s="1"/>
  <c r="F57" i="7"/>
  <c r="G57" i="7"/>
  <c r="H57" i="7"/>
  <c r="I57" i="7"/>
  <c r="J57" i="7"/>
  <c r="K57" i="7"/>
  <c r="L57" i="7"/>
  <c r="M57" i="7"/>
  <c r="Q57" i="7" s="1"/>
  <c r="F58" i="7"/>
  <c r="G58" i="7"/>
  <c r="H58" i="7"/>
  <c r="I58" i="7"/>
  <c r="J58" i="7"/>
  <c r="K58" i="7"/>
  <c r="L58" i="7"/>
  <c r="M58" i="7"/>
  <c r="O58" i="7" s="1"/>
  <c r="F59" i="7"/>
  <c r="G59" i="7"/>
  <c r="H59" i="7"/>
  <c r="I59" i="7"/>
  <c r="J59" i="7"/>
  <c r="K59" i="7"/>
  <c r="L59" i="7"/>
  <c r="M59" i="7"/>
  <c r="R59" i="7" s="1"/>
  <c r="D59" i="7"/>
  <c r="C59" i="7"/>
  <c r="B59" i="7"/>
  <c r="D58" i="7"/>
  <c r="C58" i="7"/>
  <c r="B58" i="7"/>
  <c r="D57" i="7"/>
  <c r="C57" i="7"/>
  <c r="B57" i="7"/>
  <c r="D56" i="7"/>
  <c r="C56" i="7"/>
  <c r="B56" i="7"/>
  <c r="E57" i="7"/>
  <c r="E58" i="7"/>
  <c r="E59" i="7"/>
  <c r="E56" i="7"/>
  <c r="C39" i="7"/>
  <c r="D39" i="7"/>
  <c r="E39" i="7"/>
  <c r="F39" i="7"/>
  <c r="G39" i="7"/>
  <c r="H39" i="7"/>
  <c r="I39" i="7"/>
  <c r="J39" i="7"/>
  <c r="K39" i="7"/>
  <c r="L39" i="7"/>
  <c r="M39" i="7"/>
  <c r="Y39" i="7" s="1"/>
  <c r="B39" i="7"/>
  <c r="C51" i="7"/>
  <c r="D51" i="7"/>
  <c r="E51" i="7"/>
  <c r="F51" i="7"/>
  <c r="G51" i="7"/>
  <c r="H51" i="7"/>
  <c r="I51" i="7"/>
  <c r="J51" i="7"/>
  <c r="K51" i="7"/>
  <c r="L51" i="7"/>
  <c r="M51" i="7"/>
  <c r="O51" i="7" s="1"/>
  <c r="B51" i="7"/>
  <c r="F38" i="7"/>
  <c r="G38" i="7"/>
  <c r="H38" i="7"/>
  <c r="I38" i="7"/>
  <c r="J38" i="7"/>
  <c r="K38" i="7"/>
  <c r="L38" i="7"/>
  <c r="M38" i="7"/>
  <c r="Z38" i="7" s="1"/>
  <c r="B38" i="7"/>
  <c r="C38" i="7"/>
  <c r="D38" i="7"/>
  <c r="E38" i="7"/>
  <c r="C99" i="7"/>
  <c r="D99" i="7"/>
  <c r="E99" i="7"/>
  <c r="F99" i="7"/>
  <c r="G99" i="7"/>
  <c r="H99" i="7"/>
  <c r="I99" i="7"/>
  <c r="J99" i="7"/>
  <c r="K99" i="7"/>
  <c r="L99" i="7"/>
  <c r="M99" i="7"/>
  <c r="Y99" i="7" s="1"/>
  <c r="C100" i="7"/>
  <c r="D100" i="7"/>
  <c r="E100" i="7"/>
  <c r="F100" i="7"/>
  <c r="G100" i="7"/>
  <c r="H100" i="7"/>
  <c r="I100" i="7"/>
  <c r="J100" i="7"/>
  <c r="K100" i="7"/>
  <c r="L100" i="7"/>
  <c r="M100" i="7"/>
  <c r="Y100" i="7" s="1"/>
  <c r="C101" i="7"/>
  <c r="D101" i="7"/>
  <c r="E101" i="7"/>
  <c r="F101" i="7"/>
  <c r="G101" i="7"/>
  <c r="H101" i="7"/>
  <c r="I101" i="7"/>
  <c r="J101" i="7"/>
  <c r="K101" i="7"/>
  <c r="L101" i="7"/>
  <c r="M101" i="7"/>
  <c r="Q101" i="7" s="1"/>
  <c r="C102" i="7"/>
  <c r="D102" i="7"/>
  <c r="E102" i="7"/>
  <c r="F102" i="7"/>
  <c r="G102" i="7"/>
  <c r="H102" i="7"/>
  <c r="I102" i="7"/>
  <c r="J102" i="7"/>
  <c r="K102" i="7"/>
  <c r="L102" i="7"/>
  <c r="M102" i="7"/>
  <c r="U102" i="7" s="1"/>
  <c r="B102" i="7"/>
  <c r="B100" i="7"/>
  <c r="B101" i="7"/>
  <c r="B99" i="7"/>
  <c r="C77" i="7"/>
  <c r="C79" i="7" s="1"/>
  <c r="D77" i="7"/>
  <c r="D79" i="7" s="1"/>
  <c r="E77" i="7"/>
  <c r="E79" i="7" s="1"/>
  <c r="F77" i="7"/>
  <c r="F79" i="7" s="1"/>
  <c r="G77" i="7"/>
  <c r="G79" i="7" s="1"/>
  <c r="H77" i="7"/>
  <c r="H79" i="7" s="1"/>
  <c r="I77" i="7"/>
  <c r="I79" i="7" s="1"/>
  <c r="J77" i="7"/>
  <c r="J79" i="7" s="1"/>
  <c r="K77" i="7"/>
  <c r="K79" i="7" s="1"/>
  <c r="L77" i="7"/>
  <c r="L79" i="7" s="1"/>
  <c r="M77" i="7"/>
  <c r="P77" i="7" s="1"/>
  <c r="P79" i="7" s="1"/>
  <c r="B77" i="7"/>
  <c r="B79" i="7" s="1"/>
  <c r="P9" i="7"/>
  <c r="U10" i="7"/>
  <c r="R11" i="7"/>
  <c r="S8" i="7"/>
  <c r="D8" i="7"/>
  <c r="R8" i="7"/>
  <c r="B11" i="7"/>
  <c r="Y11" i="7"/>
  <c r="P8" i="7"/>
  <c r="J11" i="7"/>
  <c r="W11" i="7"/>
  <c r="H11" i="7"/>
  <c r="Q11" i="7"/>
  <c r="H9" i="7"/>
  <c r="W9" i="7"/>
  <c r="F9" i="7"/>
  <c r="U9" i="7"/>
  <c r="L8" i="7"/>
  <c r="Z8" i="7"/>
  <c r="AB8" i="7" s="1"/>
  <c r="AC8" i="7" s="1"/>
  <c r="J8" i="7"/>
  <c r="X8" i="7"/>
  <c r="T10" i="7"/>
  <c r="K8" i="7"/>
  <c r="C8" i="7"/>
  <c r="I11" i="7"/>
  <c r="L10" i="7"/>
  <c r="D10" i="7"/>
  <c r="G9" i="7"/>
  <c r="X11" i="7"/>
  <c r="P11" i="7"/>
  <c r="S10" i="7"/>
  <c r="V9" i="7"/>
  <c r="Y8" i="7"/>
  <c r="Q8" i="7"/>
  <c r="M10" i="7"/>
  <c r="Z10" i="7"/>
  <c r="AB10" i="7" s="1"/>
  <c r="AC10" i="7" s="1"/>
  <c r="AD10" i="7" s="1"/>
  <c r="I8" i="7"/>
  <c r="B10" i="7"/>
  <c r="G11" i="7"/>
  <c r="J10" i="7"/>
  <c r="M9" i="7"/>
  <c r="E9" i="7"/>
  <c r="O8" i="7"/>
  <c r="V11" i="7"/>
  <c r="Y10" i="7"/>
  <c r="Q10" i="7"/>
  <c r="T9" i="7"/>
  <c r="W8" i="7"/>
  <c r="H8" i="7"/>
  <c r="B9" i="7"/>
  <c r="F11" i="7"/>
  <c r="I10" i="7"/>
  <c r="L9" i="7"/>
  <c r="D9" i="7"/>
  <c r="O11" i="7"/>
  <c r="U11" i="7"/>
  <c r="X10" i="7"/>
  <c r="P10" i="7"/>
  <c r="S9" i="7"/>
  <c r="V8" i="7"/>
  <c r="G8" i="7"/>
  <c r="M11" i="7"/>
  <c r="E11" i="7"/>
  <c r="H10" i="7"/>
  <c r="K9" i="7"/>
  <c r="C9" i="7"/>
  <c r="O10" i="7"/>
  <c r="T11" i="7"/>
  <c r="W10" i="7"/>
  <c r="Z9" i="7"/>
  <c r="AB9" i="7" s="1"/>
  <c r="R9" i="7"/>
  <c r="U8" i="7"/>
  <c r="B8" i="7"/>
  <c r="F8" i="7"/>
  <c r="L11" i="7"/>
  <c r="D11" i="7"/>
  <c r="G10" i="7"/>
  <c r="J9" i="7"/>
  <c r="O9" i="7"/>
  <c r="S11" i="7"/>
  <c r="V10" i="7"/>
  <c r="Y9" i="7"/>
  <c r="Q9" i="7"/>
  <c r="T8" i="7"/>
  <c r="E10" i="7"/>
  <c r="K10" i="7"/>
  <c r="C10" i="7"/>
  <c r="R10" i="7"/>
  <c r="M8" i="7"/>
  <c r="E8" i="7"/>
  <c r="K11" i="7"/>
  <c r="C11" i="7"/>
  <c r="F10" i="7"/>
  <c r="I9" i="7"/>
  <c r="Z11" i="7"/>
  <c r="AB11" i="7" s="1"/>
  <c r="AC11" i="7" s="1"/>
  <c r="AD11" i="7" s="1"/>
  <c r="X9" i="7"/>
  <c r="C5" i="4"/>
  <c r="B7" i="4"/>
  <c r="C7" i="4"/>
  <c r="B6" i="4"/>
  <c r="C6" i="4"/>
  <c r="D29" i="21"/>
  <c r="E29" i="21"/>
  <c r="F29" i="21"/>
  <c r="G29" i="21"/>
  <c r="H29" i="21"/>
  <c r="I29" i="21"/>
  <c r="J29" i="21"/>
  <c r="K29" i="21"/>
  <c r="L29" i="21"/>
  <c r="M29" i="21"/>
  <c r="N29" i="21"/>
  <c r="C29" i="21"/>
  <c r="O29" i="21" s="1"/>
  <c r="Q6" i="21"/>
  <c r="S4" i="21"/>
  <c r="T4" i="21"/>
  <c r="R4" i="21"/>
  <c r="D4" i="21"/>
  <c r="E4" i="21"/>
  <c r="F4" i="21"/>
  <c r="G4" i="21"/>
  <c r="H4" i="21"/>
  <c r="I4" i="21"/>
  <c r="J4" i="21"/>
  <c r="K4" i="21"/>
  <c r="L4" i="21"/>
  <c r="M4" i="21"/>
  <c r="N4" i="21"/>
  <c r="C4" i="21"/>
  <c r="D26" i="21"/>
  <c r="D38" i="21"/>
  <c r="E38" i="21"/>
  <c r="F38" i="21"/>
  <c r="G38" i="21"/>
  <c r="H38" i="21"/>
  <c r="I38" i="21"/>
  <c r="J38" i="21"/>
  <c r="K38" i="21"/>
  <c r="L38" i="21"/>
  <c r="M38" i="21"/>
  <c r="N38" i="21"/>
  <c r="C38" i="21"/>
  <c r="O38" i="21" s="1"/>
  <c r="D28" i="21"/>
  <c r="E28" i="21"/>
  <c r="F28" i="21"/>
  <c r="G28" i="21"/>
  <c r="H28" i="21"/>
  <c r="I28" i="21"/>
  <c r="J28" i="21"/>
  <c r="K28" i="21"/>
  <c r="L28" i="21"/>
  <c r="M28" i="21"/>
  <c r="N28" i="21"/>
  <c r="C28" i="21"/>
  <c r="O28" i="21" s="1"/>
  <c r="R6" i="21"/>
  <c r="S6" i="21"/>
  <c r="T6" i="21"/>
  <c r="O6" i="21"/>
  <c r="D6" i="21"/>
  <c r="E6" i="21"/>
  <c r="F6" i="21"/>
  <c r="G6" i="21"/>
  <c r="H6" i="21"/>
  <c r="I6" i="21"/>
  <c r="J6" i="21"/>
  <c r="K6" i="21"/>
  <c r="L6" i="21"/>
  <c r="M6" i="21"/>
  <c r="N6" i="21"/>
  <c r="C6" i="21"/>
  <c r="R38" i="21"/>
  <c r="D34" i="21"/>
  <c r="E34" i="21"/>
  <c r="F34" i="21"/>
  <c r="G34" i="21"/>
  <c r="H34" i="21"/>
  <c r="I34" i="21"/>
  <c r="J34" i="21"/>
  <c r="K34" i="21"/>
  <c r="L34" i="21"/>
  <c r="M34" i="21"/>
  <c r="N34" i="21"/>
  <c r="C34" i="21"/>
  <c r="O34" i="21" s="1"/>
  <c r="N19" i="7"/>
  <c r="A7" i="22"/>
  <c r="A8" i="22"/>
  <c r="A9" i="22"/>
  <c r="A10" i="22"/>
  <c r="A11" i="22"/>
  <c r="A12" i="22"/>
  <c r="A13" i="22"/>
  <c r="A14" i="22"/>
  <c r="C3" i="21"/>
  <c r="C30" i="21"/>
  <c r="O30" i="21" s="1"/>
  <c r="D30" i="21"/>
  <c r="E30" i="21"/>
  <c r="F30" i="21"/>
  <c r="G30" i="21"/>
  <c r="H30" i="21"/>
  <c r="I30" i="21"/>
  <c r="J30" i="21"/>
  <c r="K30" i="21"/>
  <c r="L30" i="21"/>
  <c r="M30" i="21"/>
  <c r="N30" i="21"/>
  <c r="Q4" i="21"/>
  <c r="B8" i="4"/>
  <c r="C8" i="4"/>
  <c r="Q38" i="21"/>
  <c r="Q28" i="21"/>
  <c r="J31" i="21"/>
  <c r="I31" i="21"/>
  <c r="H31" i="21"/>
  <c r="G31" i="21"/>
  <c r="F31" i="21"/>
  <c r="M31" i="21"/>
  <c r="L31" i="21"/>
  <c r="N31" i="21"/>
  <c r="K31" i="21"/>
  <c r="O4" i="21"/>
  <c r="B9" i="4"/>
  <c r="R34" i="21"/>
  <c r="Q29" i="21"/>
  <c r="Q34" i="21"/>
  <c r="R28" i="21"/>
  <c r="D31" i="21"/>
  <c r="C31" i="21"/>
  <c r="O31" i="21" s="1"/>
  <c r="E31" i="21"/>
  <c r="G9" i="21"/>
  <c r="J9" i="21"/>
  <c r="N9" i="21"/>
  <c r="M9" i="21"/>
  <c r="S38" i="21"/>
  <c r="T38" i="21"/>
  <c r="Q30" i="21"/>
  <c r="C9" i="4"/>
  <c r="B10" i="4"/>
  <c r="C10" i="4"/>
  <c r="K9" i="21"/>
  <c r="H9" i="21"/>
  <c r="C9" i="21"/>
  <c r="O9" i="21" s="1"/>
  <c r="L9" i="21"/>
  <c r="I9" i="21"/>
  <c r="D9" i="21"/>
  <c r="F9" i="21"/>
  <c r="R29" i="21"/>
  <c r="S34" i="21"/>
  <c r="T28" i="21"/>
  <c r="S28" i="21"/>
  <c r="E9" i="21"/>
  <c r="Q9" i="21"/>
  <c r="K10" i="21"/>
  <c r="R30" i="21"/>
  <c r="N10" i="21"/>
  <c r="G10" i="21"/>
  <c r="J10" i="21"/>
  <c r="D10" i="21"/>
  <c r="E10" i="21"/>
  <c r="F10" i="21"/>
  <c r="L10" i="21"/>
  <c r="M10" i="21"/>
  <c r="I10" i="21"/>
  <c r="C10" i="21"/>
  <c r="H10" i="21"/>
  <c r="S29" i="21"/>
  <c r="Q31" i="21"/>
  <c r="N20" i="21"/>
  <c r="H20" i="21"/>
  <c r="S30" i="21"/>
  <c r="T29" i="21"/>
  <c r="R9" i="21"/>
  <c r="T34" i="21"/>
  <c r="T30" i="21"/>
  <c r="R31" i="21"/>
  <c r="K20" i="21"/>
  <c r="D20" i="21"/>
  <c r="L20" i="21"/>
  <c r="S9" i="21"/>
  <c r="J20" i="21"/>
  <c r="C20" i="21"/>
  <c r="O20" i="21" s="1"/>
  <c r="G20" i="21"/>
  <c r="Q10" i="21"/>
  <c r="D15" i="21"/>
  <c r="E20" i="21"/>
  <c r="S31" i="21"/>
  <c r="G15" i="21"/>
  <c r="F20" i="21"/>
  <c r="M20" i="21"/>
  <c r="R10" i="21"/>
  <c r="I20" i="21"/>
  <c r="E15" i="21"/>
  <c r="H15" i="21"/>
  <c r="K15" i="21"/>
  <c r="L15" i="21"/>
  <c r="J15" i="21"/>
  <c r="T9" i="21"/>
  <c r="T31" i="21"/>
  <c r="M15" i="21"/>
  <c r="T10" i="21"/>
  <c r="S10" i="21"/>
  <c r="N15" i="21"/>
  <c r="F15" i="21"/>
  <c r="I15" i="21"/>
  <c r="Q20" i="21"/>
  <c r="C15" i="21"/>
  <c r="O15" i="21" s="1"/>
  <c r="R20" i="21"/>
  <c r="S20" i="21"/>
  <c r="R15" i="21"/>
  <c r="Q15" i="21"/>
  <c r="T20" i="21"/>
  <c r="S15" i="21"/>
  <c r="T15" i="21"/>
  <c r="F32" i="21"/>
  <c r="H32" i="21"/>
  <c r="D32" i="21"/>
  <c r="M32" i="21"/>
  <c r="I32" i="21"/>
  <c r="G32" i="21"/>
  <c r="K32" i="21"/>
  <c r="N32" i="21"/>
  <c r="E32" i="21"/>
  <c r="L32" i="21"/>
  <c r="J32" i="21"/>
  <c r="C32" i="21"/>
  <c r="O32" i="21" s="1"/>
  <c r="Q32" i="21"/>
  <c r="R32" i="21"/>
  <c r="S32" i="21"/>
  <c r="T32" i="21"/>
  <c r="H33" i="21"/>
  <c r="I33" i="21"/>
  <c r="K33" i="21"/>
  <c r="G33" i="21"/>
  <c r="N33" i="21"/>
  <c r="E33" i="21"/>
  <c r="M33" i="21"/>
  <c r="L33" i="21"/>
  <c r="D33" i="21"/>
  <c r="C33" i="21"/>
  <c r="O33" i="21" s="1"/>
  <c r="J33" i="21"/>
  <c r="F33" i="21"/>
  <c r="Q33" i="21"/>
  <c r="R33" i="21"/>
  <c r="S33" i="21"/>
  <c r="C26" i="21"/>
  <c r="O26" i="21" s="1"/>
  <c r="T33" i="21"/>
  <c r="E26" i="21"/>
  <c r="F26" i="21"/>
  <c r="G26" i="21"/>
  <c r="I26" i="21"/>
  <c r="H26" i="21"/>
  <c r="J26" i="21"/>
  <c r="K26" i="21"/>
  <c r="L26" i="21"/>
  <c r="M26" i="21"/>
  <c r="N26" i="21"/>
  <c r="N128" i="7"/>
  <c r="AA128" i="7"/>
  <c r="AB128" i="7" s="1"/>
  <c r="P122" i="7" l="1"/>
  <c r="Q122" i="7"/>
  <c r="R122" i="7"/>
  <c r="S122" i="7"/>
  <c r="T122" i="7"/>
  <c r="U122" i="7"/>
  <c r="V122" i="7"/>
  <c r="W122" i="7"/>
  <c r="X122" i="7"/>
  <c r="Y122" i="7"/>
  <c r="Z122" i="7"/>
  <c r="I124" i="37"/>
  <c r="M124" i="37"/>
  <c r="Y124" i="37" s="1"/>
  <c r="D107" i="37"/>
  <c r="P57" i="7"/>
  <c r="AC43" i="37"/>
  <c r="AD43" i="37"/>
  <c r="AE43" i="37"/>
  <c r="AF43" i="37"/>
  <c r="AG43" i="37"/>
  <c r="AM43" i="37"/>
  <c r="AH43" i="37"/>
  <c r="AI43" i="37"/>
  <c r="AJ43" i="37"/>
  <c r="AB43" i="37"/>
  <c r="AK43" i="37"/>
  <c r="AL43" i="37"/>
  <c r="K107" i="37"/>
  <c r="J107" i="37"/>
  <c r="U44" i="37"/>
  <c r="T44" i="37"/>
  <c r="V44" i="37"/>
  <c r="W44" i="37"/>
  <c r="X44" i="37"/>
  <c r="Y44" i="37"/>
  <c r="Z44" i="37"/>
  <c r="S44" i="37"/>
  <c r="P44" i="37"/>
  <c r="Q44" i="37"/>
  <c r="R44" i="37"/>
  <c r="P97" i="37"/>
  <c r="B107" i="37"/>
  <c r="M107" i="37"/>
  <c r="W107" i="37" s="1"/>
  <c r="Z42" i="37"/>
  <c r="P42" i="37"/>
  <c r="Q42" i="37"/>
  <c r="R42" i="37"/>
  <c r="S42" i="37"/>
  <c r="T42" i="37"/>
  <c r="U42" i="37"/>
  <c r="V42" i="37"/>
  <c r="W42" i="37"/>
  <c r="X42" i="37"/>
  <c r="Y42" i="37"/>
  <c r="L107" i="37"/>
  <c r="I107" i="37"/>
  <c r="H107" i="37"/>
  <c r="G107" i="37"/>
  <c r="F107" i="37"/>
  <c r="S126" i="37"/>
  <c r="E107" i="37"/>
  <c r="O89" i="37"/>
  <c r="AB27" i="37"/>
  <c r="AG27" i="37"/>
  <c r="AE27" i="37"/>
  <c r="AD27" i="37"/>
  <c r="AK27" i="37"/>
  <c r="AC27" i="37"/>
  <c r="AJ27" i="37"/>
  <c r="AF27" i="37"/>
  <c r="AH27" i="37"/>
  <c r="AI27" i="37"/>
  <c r="AM27" i="37"/>
  <c r="AP27" i="37" s="1"/>
  <c r="E105" i="37"/>
  <c r="G105" i="37"/>
  <c r="AC20" i="37"/>
  <c r="AE20" i="37"/>
  <c r="AD20" i="37"/>
  <c r="AF20" i="37"/>
  <c r="AB20" i="37"/>
  <c r="AG20" i="37"/>
  <c r="AH20" i="37"/>
  <c r="AI20" i="37"/>
  <c r="AJ20" i="37"/>
  <c r="AK20" i="37"/>
  <c r="AM20" i="37"/>
  <c r="AL20" i="37"/>
  <c r="AA27" i="37"/>
  <c r="AC18" i="37"/>
  <c r="AD18" i="37"/>
  <c r="AE18" i="37"/>
  <c r="AF18" i="37"/>
  <c r="AH18" i="37"/>
  <c r="AG18" i="37"/>
  <c r="AI18" i="37"/>
  <c r="AJ18" i="37"/>
  <c r="AK18" i="37"/>
  <c r="AL18" i="37"/>
  <c r="AM18" i="37"/>
  <c r="AB18" i="37"/>
  <c r="AM22" i="37"/>
  <c r="AB22" i="37"/>
  <c r="AD22" i="37"/>
  <c r="AH22" i="37"/>
  <c r="AC22" i="37"/>
  <c r="AE22" i="37"/>
  <c r="AF22" i="37"/>
  <c r="AG22" i="37"/>
  <c r="AI22" i="37"/>
  <c r="AJ22" i="37"/>
  <c r="AK22" i="37"/>
  <c r="AL22" i="37"/>
  <c r="AH21" i="37"/>
  <c r="AB21" i="37"/>
  <c r="AG21" i="37"/>
  <c r="AI21" i="37"/>
  <c r="AJ21" i="37"/>
  <c r="AK21" i="37"/>
  <c r="AL21" i="37"/>
  <c r="AM21" i="37"/>
  <c r="AC21" i="37"/>
  <c r="AD21" i="37"/>
  <c r="AF21" i="37"/>
  <c r="AE21" i="37"/>
  <c r="AI19" i="37"/>
  <c r="AB19" i="37"/>
  <c r="AC19" i="37"/>
  <c r="AE19" i="37"/>
  <c r="AM19" i="37"/>
  <c r="AD19" i="37"/>
  <c r="AF19" i="37"/>
  <c r="AG19" i="37"/>
  <c r="AH19" i="37"/>
  <c r="AJ19" i="37"/>
  <c r="AK19" i="37"/>
  <c r="AL19" i="37"/>
  <c r="Z61" i="37"/>
  <c r="AL61" i="37" s="1"/>
  <c r="V61" i="37"/>
  <c r="K11" i="21"/>
  <c r="U120" i="7"/>
  <c r="G11" i="21"/>
  <c r="U38" i="7"/>
  <c r="P117" i="7"/>
  <c r="X117" i="7"/>
  <c r="V117" i="7"/>
  <c r="S117" i="7"/>
  <c r="Z57" i="7"/>
  <c r="T11" i="21"/>
  <c r="C11" i="21"/>
  <c r="O10" i="21"/>
  <c r="O11" i="21" s="1"/>
  <c r="N11" i="21"/>
  <c r="L11" i="21"/>
  <c r="S115" i="7"/>
  <c r="W38" i="7"/>
  <c r="M11" i="21"/>
  <c r="O38" i="7"/>
  <c r="X38" i="7"/>
  <c r="S11" i="21"/>
  <c r="V102" i="7"/>
  <c r="Q102" i="7"/>
  <c r="F11" i="21"/>
  <c r="H11" i="21"/>
  <c r="D11" i="21"/>
  <c r="Z59" i="7"/>
  <c r="U57" i="7"/>
  <c r="J11" i="21"/>
  <c r="R11" i="21"/>
  <c r="Q11" i="21"/>
  <c r="I11" i="21"/>
  <c r="X85" i="7"/>
  <c r="E11" i="21"/>
  <c r="Q56" i="7"/>
  <c r="P56" i="7"/>
  <c r="O56" i="7"/>
  <c r="T102" i="7"/>
  <c r="Y59" i="7"/>
  <c r="S102" i="7"/>
  <c r="X59" i="7"/>
  <c r="R102" i="7"/>
  <c r="S59" i="7"/>
  <c r="O102" i="7"/>
  <c r="Q59" i="7"/>
  <c r="R117" i="7"/>
  <c r="Z117" i="7"/>
  <c r="Y57" i="7"/>
  <c r="V57" i="7"/>
  <c r="V38" i="7"/>
  <c r="T117" i="7"/>
  <c r="W57" i="7"/>
  <c r="G96" i="7"/>
  <c r="X82" i="7"/>
  <c r="P100" i="7"/>
  <c r="O59" i="7"/>
  <c r="Q38" i="7"/>
  <c r="P102" i="7"/>
  <c r="O57" i="7"/>
  <c r="P38" i="7"/>
  <c r="Q117" i="7"/>
  <c r="P59" i="7"/>
  <c r="X57" i="7"/>
  <c r="Z102" i="7"/>
  <c r="Y117" i="7"/>
  <c r="W59" i="7"/>
  <c r="T57" i="7"/>
  <c r="Y102" i="7"/>
  <c r="O117" i="7"/>
  <c r="U59" i="7"/>
  <c r="S57" i="7"/>
  <c r="V59" i="7"/>
  <c r="X102" i="7"/>
  <c r="R57" i="7"/>
  <c r="W102" i="7"/>
  <c r="W117" i="7"/>
  <c r="T59" i="7"/>
  <c r="Z56" i="7"/>
  <c r="Z58" i="7"/>
  <c r="Y58" i="7"/>
  <c r="W58" i="7"/>
  <c r="V58" i="7"/>
  <c r="U58" i="7"/>
  <c r="T58" i="7"/>
  <c r="R58" i="7"/>
  <c r="P58" i="7"/>
  <c r="X56" i="7"/>
  <c r="Y56" i="7"/>
  <c r="V56" i="7"/>
  <c r="W56" i="7"/>
  <c r="R56" i="7"/>
  <c r="X58" i="7"/>
  <c r="S58" i="7"/>
  <c r="Q58" i="7"/>
  <c r="U56" i="7"/>
  <c r="T56" i="7"/>
  <c r="W85" i="7"/>
  <c r="O120" i="7"/>
  <c r="R120" i="7"/>
  <c r="P101" i="7"/>
  <c r="Q120" i="7"/>
  <c r="W120" i="7"/>
  <c r="R77" i="7"/>
  <c r="R79" i="7" s="1"/>
  <c r="O109" i="7"/>
  <c r="W109" i="7"/>
  <c r="U51" i="7"/>
  <c r="O99" i="7"/>
  <c r="U85" i="7"/>
  <c r="S85" i="7"/>
  <c r="T61" i="7"/>
  <c r="T85" i="7"/>
  <c r="P115" i="7"/>
  <c r="Z115" i="7"/>
  <c r="W100" i="7"/>
  <c r="Y115" i="7"/>
  <c r="X100" i="7"/>
  <c r="R85" i="7"/>
  <c r="X115" i="7"/>
  <c r="V100" i="7"/>
  <c r="Q85" i="7"/>
  <c r="V115" i="7"/>
  <c r="T100" i="7"/>
  <c r="O85" i="7"/>
  <c r="U100" i="7"/>
  <c r="P85" i="7"/>
  <c r="U115" i="7"/>
  <c r="S100" i="7"/>
  <c r="Z85" i="7"/>
  <c r="O115" i="7"/>
  <c r="R100" i="7"/>
  <c r="W115" i="7"/>
  <c r="Y85" i="7"/>
  <c r="T115" i="7"/>
  <c r="Q100" i="7"/>
  <c r="R115" i="7"/>
  <c r="Z100" i="7"/>
  <c r="O100" i="7"/>
  <c r="S61" i="7"/>
  <c r="M64" i="7"/>
  <c r="Y51" i="7"/>
  <c r="R51" i="7"/>
  <c r="Q92" i="7"/>
  <c r="W92" i="7"/>
  <c r="O122" i="7"/>
  <c r="P61" i="7"/>
  <c r="Q61" i="7"/>
  <c r="V51" i="7"/>
  <c r="X61" i="7"/>
  <c r="Y82" i="7"/>
  <c r="Q82" i="7"/>
  <c r="Z82" i="7"/>
  <c r="Z61" i="7"/>
  <c r="P92" i="7"/>
  <c r="R61" i="7"/>
  <c r="P82" i="7"/>
  <c r="W84" i="7"/>
  <c r="S51" i="7"/>
  <c r="W82" i="7"/>
  <c r="V82" i="7"/>
  <c r="W51" i="7"/>
  <c r="O101" i="7"/>
  <c r="U82" i="7"/>
  <c r="T51" i="7"/>
  <c r="Z118" i="7"/>
  <c r="T82" i="7"/>
  <c r="Z51" i="7"/>
  <c r="V118" i="7"/>
  <c r="S82" i="7"/>
  <c r="R82" i="7"/>
  <c r="X51" i="7"/>
  <c r="O61" i="7"/>
  <c r="X92" i="7"/>
  <c r="X99" i="7"/>
  <c r="U92" i="7"/>
  <c r="V120" i="7"/>
  <c r="J104" i="7"/>
  <c r="P51" i="7"/>
  <c r="W61" i="7"/>
  <c r="Q51" i="7"/>
  <c r="V61" i="7"/>
  <c r="U61" i="7"/>
  <c r="T92" i="7"/>
  <c r="Y118" i="7"/>
  <c r="X118" i="7"/>
  <c r="S83" i="7"/>
  <c r="W118" i="7"/>
  <c r="U118" i="7"/>
  <c r="D104" i="7"/>
  <c r="L96" i="7"/>
  <c r="L64" i="7"/>
  <c r="S118" i="7"/>
  <c r="B64" i="7"/>
  <c r="T118" i="7"/>
  <c r="J89" i="7"/>
  <c r="R118" i="7"/>
  <c r="Q118" i="7"/>
  <c r="O118" i="7"/>
  <c r="O77" i="7"/>
  <c r="T109" i="7"/>
  <c r="U84" i="7"/>
  <c r="Z77" i="7"/>
  <c r="Z79" i="7" s="1"/>
  <c r="W99" i="7"/>
  <c r="Y77" i="7"/>
  <c r="Y79" i="7" s="1"/>
  <c r="P120" i="7"/>
  <c r="P93" i="7"/>
  <c r="R109" i="7"/>
  <c r="O92" i="7"/>
  <c r="S84" i="7"/>
  <c r="V99" i="7"/>
  <c r="X77" i="7"/>
  <c r="X79" i="7" s="1"/>
  <c r="Z120" i="7"/>
  <c r="U119" i="7"/>
  <c r="O93" i="7"/>
  <c r="Q109" i="7"/>
  <c r="Z92" i="7"/>
  <c r="R84" i="7"/>
  <c r="U93" i="7"/>
  <c r="U99" i="7"/>
  <c r="W77" i="7"/>
  <c r="W79" i="7" s="1"/>
  <c r="Y120" i="7"/>
  <c r="T119" i="7"/>
  <c r="Y93" i="7"/>
  <c r="P109" i="7"/>
  <c r="Y92" i="7"/>
  <c r="Q84" i="7"/>
  <c r="S109" i="7"/>
  <c r="T99" i="7"/>
  <c r="V77" i="7"/>
  <c r="V79" i="7" s="1"/>
  <c r="X120" i="7"/>
  <c r="S119" i="7"/>
  <c r="X93" i="7"/>
  <c r="P84" i="7"/>
  <c r="O84" i="7"/>
  <c r="S99" i="7"/>
  <c r="P119" i="7"/>
  <c r="V93" i="7"/>
  <c r="Q13" i="7"/>
  <c r="R99" i="7"/>
  <c r="V119" i="7"/>
  <c r="V92" i="7"/>
  <c r="E96" i="7"/>
  <c r="N85" i="7"/>
  <c r="V84" i="7"/>
  <c r="M79" i="7"/>
  <c r="U77" i="7"/>
  <c r="U79" i="7" s="1"/>
  <c r="Q99" i="7"/>
  <c r="T77" i="7"/>
  <c r="T79" i="7" s="1"/>
  <c r="T84" i="7"/>
  <c r="U13" i="7"/>
  <c r="P99" i="7"/>
  <c r="S77" i="7"/>
  <c r="S79" i="7" s="1"/>
  <c r="Z109" i="7"/>
  <c r="Z99" i="7"/>
  <c r="Y109" i="7"/>
  <c r="G64" i="7"/>
  <c r="X109" i="7"/>
  <c r="Q77" i="7"/>
  <c r="Q79" i="7" s="1"/>
  <c r="W110" i="7"/>
  <c r="T120" i="7"/>
  <c r="V109" i="7"/>
  <c r="S92" i="7"/>
  <c r="F104" i="7"/>
  <c r="B96" i="7"/>
  <c r="I96" i="7"/>
  <c r="Y84" i="7"/>
  <c r="E104" i="7"/>
  <c r="C96" i="7"/>
  <c r="L89" i="7"/>
  <c r="X84" i="7"/>
  <c r="Q18" i="7"/>
  <c r="T18" i="7"/>
  <c r="E18" i="7"/>
  <c r="Z18" i="7"/>
  <c r="AB18" i="7" s="1"/>
  <c r="U18" i="7"/>
  <c r="F18" i="7"/>
  <c r="I18" i="7"/>
  <c r="D18" i="7"/>
  <c r="J18" i="7"/>
  <c r="X18" i="7"/>
  <c r="P18" i="7"/>
  <c r="B18" i="7"/>
  <c r="Y18" i="7"/>
  <c r="O18" i="7"/>
  <c r="K18" i="7"/>
  <c r="H18" i="7"/>
  <c r="M18" i="7"/>
  <c r="C18" i="7"/>
  <c r="G18" i="7"/>
  <c r="W18" i="7"/>
  <c r="R18" i="7"/>
  <c r="V18" i="7"/>
  <c r="L18" i="7"/>
  <c r="S18" i="7"/>
  <c r="G16" i="7"/>
  <c r="X16" i="7"/>
  <c r="K16" i="7"/>
  <c r="T16" i="7"/>
  <c r="Z16" i="7"/>
  <c r="AB16" i="7" s="1"/>
  <c r="V16" i="7"/>
  <c r="R16" i="7"/>
  <c r="U16" i="7"/>
  <c r="P16" i="7"/>
  <c r="J16" i="7"/>
  <c r="O16" i="7"/>
  <c r="H16" i="7"/>
  <c r="B16" i="7"/>
  <c r="Q16" i="7"/>
  <c r="S16" i="7"/>
  <c r="C16" i="7"/>
  <c r="L16" i="7"/>
  <c r="Y16" i="7"/>
  <c r="D16" i="7"/>
  <c r="I16" i="7"/>
  <c r="M16" i="7"/>
  <c r="F16" i="7"/>
  <c r="W16" i="7"/>
  <c r="E16" i="7"/>
  <c r="Y17" i="7"/>
  <c r="Q17" i="7"/>
  <c r="W17" i="7"/>
  <c r="B17" i="7"/>
  <c r="S17" i="7"/>
  <c r="Z17" i="7"/>
  <c r="AB17" i="7" s="1"/>
  <c r="G17" i="7"/>
  <c r="M17" i="7"/>
  <c r="E17" i="7"/>
  <c r="U17" i="7"/>
  <c r="J17" i="7"/>
  <c r="X17" i="7"/>
  <c r="T17" i="7"/>
  <c r="P17" i="7"/>
  <c r="H17" i="7"/>
  <c r="I17" i="7"/>
  <c r="V17" i="7"/>
  <c r="K17" i="7"/>
  <c r="F17" i="7"/>
  <c r="C17" i="7"/>
  <c r="R17" i="7"/>
  <c r="L17" i="7"/>
  <c r="O17" i="7"/>
  <c r="D17" i="7"/>
  <c r="X119" i="7"/>
  <c r="W86" i="7"/>
  <c r="X116" i="7"/>
  <c r="W119" i="7"/>
  <c r="U39" i="7"/>
  <c r="B104" i="7"/>
  <c r="N100" i="7"/>
  <c r="N62" i="7"/>
  <c r="O119" i="7"/>
  <c r="D64" i="7"/>
  <c r="Y13" i="7"/>
  <c r="Q116" i="7"/>
  <c r="P116" i="7"/>
  <c r="R119" i="7"/>
  <c r="K104" i="7"/>
  <c r="G89" i="7"/>
  <c r="Y116" i="7"/>
  <c r="Q119" i="7"/>
  <c r="K96" i="7"/>
  <c r="V116" i="7"/>
  <c r="Z119" i="7"/>
  <c r="N27" i="37"/>
  <c r="N29" i="37" s="1"/>
  <c r="O29" i="37"/>
  <c r="X92" i="37"/>
  <c r="BA16" i="37"/>
  <c r="X64" i="37"/>
  <c r="W66" i="37"/>
  <c r="O61" i="37"/>
  <c r="Y61" i="37"/>
  <c r="V88" i="37"/>
  <c r="U61" i="37"/>
  <c r="R61" i="37"/>
  <c r="P61" i="37"/>
  <c r="T61" i="37"/>
  <c r="W61" i="37"/>
  <c r="S61" i="37"/>
  <c r="X61" i="37"/>
  <c r="U89" i="37"/>
  <c r="N49" i="37"/>
  <c r="BB9" i="37"/>
  <c r="BB16" i="37" s="1"/>
  <c r="AN16" i="37"/>
  <c r="U62" i="37"/>
  <c r="W120" i="37"/>
  <c r="X87" i="37"/>
  <c r="V64" i="37"/>
  <c r="U99" i="37"/>
  <c r="D82" i="37"/>
  <c r="D84" i="37" s="1"/>
  <c r="P64" i="37"/>
  <c r="B105" i="37"/>
  <c r="Q97" i="37"/>
  <c r="L105" i="37"/>
  <c r="B119" i="37"/>
  <c r="V124" i="37"/>
  <c r="P88" i="37"/>
  <c r="X62" i="37"/>
  <c r="S87" i="37"/>
  <c r="Q64" i="37"/>
  <c r="W64" i="37"/>
  <c r="T64" i="37"/>
  <c r="O64" i="37"/>
  <c r="O63" i="37"/>
  <c r="O87" i="37"/>
  <c r="H124" i="37"/>
  <c r="T63" i="37"/>
  <c r="S64" i="37"/>
  <c r="F124" i="37"/>
  <c r="J82" i="37"/>
  <c r="J84" i="37" s="1"/>
  <c r="T123" i="37"/>
  <c r="P92" i="37"/>
  <c r="T114" i="37"/>
  <c r="R62" i="37"/>
  <c r="U64" i="37"/>
  <c r="I82" i="37"/>
  <c r="I84" i="37" s="1"/>
  <c r="X120" i="37"/>
  <c r="P16" i="37"/>
  <c r="Q123" i="37"/>
  <c r="L124" i="37"/>
  <c r="Y92" i="37"/>
  <c r="Y64" i="37"/>
  <c r="Z63" i="37"/>
  <c r="AC63" i="37" s="1"/>
  <c r="S122" i="37"/>
  <c r="Y122" i="37"/>
  <c r="V87" i="37"/>
  <c r="Z64" i="37"/>
  <c r="AB64" i="37" s="1"/>
  <c r="T120" i="37"/>
  <c r="AG97" i="37"/>
  <c r="AH97" i="37"/>
  <c r="AD97" i="37"/>
  <c r="AB97" i="37"/>
  <c r="W124" i="37"/>
  <c r="R97" i="37"/>
  <c r="J124" i="37"/>
  <c r="P123" i="37"/>
  <c r="V106" i="37"/>
  <c r="T97" i="37"/>
  <c r="H119" i="37"/>
  <c r="X106" i="37"/>
  <c r="U97" i="37"/>
  <c r="X124" i="37"/>
  <c r="Q106" i="37"/>
  <c r="V97" i="37"/>
  <c r="S62" i="37"/>
  <c r="C124" i="37"/>
  <c r="S124" i="37"/>
  <c r="T106" i="37"/>
  <c r="R106" i="37"/>
  <c r="W114" i="37"/>
  <c r="C119" i="37"/>
  <c r="Z89" i="37"/>
  <c r="AH89" i="37" s="1"/>
  <c r="R126" i="37"/>
  <c r="S106" i="37"/>
  <c r="P114" i="37"/>
  <c r="Y123" i="37"/>
  <c r="F119" i="37"/>
  <c r="R124" i="37"/>
  <c r="T121" i="37"/>
  <c r="U123" i="37"/>
  <c r="O106" i="37"/>
  <c r="O97" i="37"/>
  <c r="X123" i="37"/>
  <c r="E124" i="37"/>
  <c r="Q124" i="37"/>
  <c r="V123" i="37"/>
  <c r="S97" i="37"/>
  <c r="Z99" i="37"/>
  <c r="AJ99" i="37" s="1"/>
  <c r="W123" i="37"/>
  <c r="W97" i="37"/>
  <c r="B124" i="37"/>
  <c r="O123" i="37"/>
  <c r="X97" i="37"/>
  <c r="S123" i="37"/>
  <c r="U124" i="37"/>
  <c r="Y97" i="37"/>
  <c r="D124" i="37"/>
  <c r="R123" i="37"/>
  <c r="O62" i="37"/>
  <c r="Z124" i="37"/>
  <c r="AL124" i="37" s="1"/>
  <c r="K124" i="37"/>
  <c r="D101" i="37"/>
  <c r="Q90" i="37"/>
  <c r="V63" i="37"/>
  <c r="R92" i="37"/>
  <c r="B82" i="37"/>
  <c r="B84" i="37" s="1"/>
  <c r="Y87" i="37"/>
  <c r="I94" i="37"/>
  <c r="X63" i="37"/>
  <c r="Q87" i="37"/>
  <c r="D69" i="37"/>
  <c r="H69" i="37"/>
  <c r="F94" i="37"/>
  <c r="P120" i="37"/>
  <c r="L82" i="37"/>
  <c r="L84" i="37" s="1"/>
  <c r="G82" i="37"/>
  <c r="G84" i="37" s="1"/>
  <c r="B69" i="37"/>
  <c r="E69" i="37"/>
  <c r="AE97" i="37"/>
  <c r="T87" i="37"/>
  <c r="U90" i="37"/>
  <c r="P87" i="37"/>
  <c r="N8" i="37"/>
  <c r="AI97" i="37"/>
  <c r="U87" i="37"/>
  <c r="R87" i="37"/>
  <c r="R120" i="37"/>
  <c r="W87" i="37"/>
  <c r="K82" i="37"/>
  <c r="K84" i="37" s="1"/>
  <c r="N98" i="37"/>
  <c r="F69" i="37"/>
  <c r="I69" i="37"/>
  <c r="N66" i="37"/>
  <c r="K94" i="37"/>
  <c r="G69" i="37"/>
  <c r="T92" i="37"/>
  <c r="O92" i="37"/>
  <c r="AF98" i="37"/>
  <c r="AE98" i="37"/>
  <c r="AK87" i="37"/>
  <c r="AH87" i="37"/>
  <c r="AB87" i="37"/>
  <c r="AG87" i="37"/>
  <c r="AF87" i="37"/>
  <c r="AC87" i="37"/>
  <c r="AD87" i="37"/>
  <c r="AL87" i="37"/>
  <c r="AE87" i="37"/>
  <c r="AM87" i="37"/>
  <c r="AY87" i="37" s="1"/>
  <c r="AI87" i="37"/>
  <c r="AJ87" i="37"/>
  <c r="AK123" i="37"/>
  <c r="AJ123" i="37"/>
  <c r="AE123" i="37"/>
  <c r="AD123" i="37"/>
  <c r="AC123" i="37"/>
  <c r="AB123" i="37"/>
  <c r="AM123" i="37"/>
  <c r="AP123" i="37" s="1"/>
  <c r="AI123" i="37"/>
  <c r="AF123" i="37"/>
  <c r="AH123" i="37"/>
  <c r="AL123" i="37"/>
  <c r="AG123" i="37"/>
  <c r="X98" i="37"/>
  <c r="Z122" i="37"/>
  <c r="AH122" i="37" s="1"/>
  <c r="Y88" i="37"/>
  <c r="V125" i="37"/>
  <c r="Q98" i="37"/>
  <c r="G94" i="37"/>
  <c r="Z121" i="37"/>
  <c r="AH121" i="37" s="1"/>
  <c r="P98" i="37"/>
  <c r="R98" i="37"/>
  <c r="Y98" i="37"/>
  <c r="O122" i="37"/>
  <c r="U91" i="37"/>
  <c r="Q89" i="37"/>
  <c r="Z16" i="37"/>
  <c r="N42" i="37"/>
  <c r="O56" i="37"/>
  <c r="AM97" i="37"/>
  <c r="AX97" i="37" s="1"/>
  <c r="T113" i="37"/>
  <c r="P122" i="37"/>
  <c r="O88" i="37"/>
  <c r="Y89" i="37"/>
  <c r="Q125" i="37"/>
  <c r="P121" i="37"/>
  <c r="T89" i="37"/>
  <c r="Z88" i="37"/>
  <c r="AD88" i="37" s="1"/>
  <c r="N114" i="37"/>
  <c r="U121" i="37"/>
  <c r="Q88" i="37"/>
  <c r="S91" i="37"/>
  <c r="N56" i="37"/>
  <c r="J69" i="37"/>
  <c r="T122" i="37"/>
  <c r="AJ97" i="37"/>
  <c r="V89" i="37"/>
  <c r="S88" i="37"/>
  <c r="P63" i="37"/>
  <c r="O42" i="37"/>
  <c r="S63" i="37"/>
  <c r="P91" i="37"/>
  <c r="P89" i="37"/>
  <c r="B16" i="37"/>
  <c r="G16" i="37"/>
  <c r="AK97" i="37"/>
  <c r="O98" i="37"/>
  <c r="V122" i="37"/>
  <c r="W89" i="37"/>
  <c r="Q63" i="37"/>
  <c r="W92" i="37"/>
  <c r="O121" i="37"/>
  <c r="S89" i="37"/>
  <c r="B101" i="37"/>
  <c r="F101" i="37"/>
  <c r="AL97" i="37"/>
  <c r="X89" i="37"/>
  <c r="R63" i="37"/>
  <c r="U98" i="37"/>
  <c r="X88" i="37"/>
  <c r="R88" i="37"/>
  <c r="W121" i="37"/>
  <c r="Y113" i="37"/>
  <c r="V98" i="37"/>
  <c r="AC97" i="37"/>
  <c r="U63" i="37"/>
  <c r="T98" i="37"/>
  <c r="D94" i="37"/>
  <c r="E101" i="37"/>
  <c r="T88" i="37"/>
  <c r="U88" i="37"/>
  <c r="AF97" i="37"/>
  <c r="X122" i="37"/>
  <c r="W63" i="37"/>
  <c r="V91" i="37"/>
  <c r="G101" i="37"/>
  <c r="Q122" i="37"/>
  <c r="S98" i="37"/>
  <c r="H101" i="37"/>
  <c r="Y121" i="37"/>
  <c r="R122" i="37"/>
  <c r="M94" i="37"/>
  <c r="W98" i="37"/>
  <c r="Z62" i="37"/>
  <c r="Q120" i="37"/>
  <c r="W99" i="37"/>
  <c r="O125" i="37"/>
  <c r="U120" i="37"/>
  <c r="K105" i="37"/>
  <c r="V90" i="37"/>
  <c r="D119" i="37"/>
  <c r="AA51" i="37"/>
  <c r="S113" i="37"/>
  <c r="R114" i="37"/>
  <c r="X113" i="37"/>
  <c r="O120" i="37"/>
  <c r="Q62" i="37"/>
  <c r="L119" i="37"/>
  <c r="P62" i="37"/>
  <c r="U92" i="37"/>
  <c r="Z106" i="37"/>
  <c r="Q114" i="37"/>
  <c r="Q99" i="37"/>
  <c r="V113" i="37"/>
  <c r="R113" i="37"/>
  <c r="U125" i="37"/>
  <c r="Z120" i="37"/>
  <c r="AG120" i="37" s="1"/>
  <c r="J119" i="37"/>
  <c r="S120" i="37"/>
  <c r="W106" i="37"/>
  <c r="T62" i="37"/>
  <c r="S114" i="37"/>
  <c r="O90" i="37"/>
  <c r="O99" i="37"/>
  <c r="U106" i="37"/>
  <c r="Q92" i="37"/>
  <c r="V120" i="37"/>
  <c r="V92" i="37"/>
  <c r="J105" i="37"/>
  <c r="H82" i="37"/>
  <c r="H84" i="37" s="1"/>
  <c r="K119" i="37"/>
  <c r="F105" i="37"/>
  <c r="N50" i="37"/>
  <c r="S99" i="37"/>
  <c r="P106" i="37"/>
  <c r="X114" i="37"/>
  <c r="Z92" i="37"/>
  <c r="V99" i="37"/>
  <c r="Z125" i="37"/>
  <c r="D105" i="37"/>
  <c r="D109" i="37" s="1"/>
  <c r="C101" i="37"/>
  <c r="Y114" i="37"/>
  <c r="R99" i="37"/>
  <c r="Q113" i="37"/>
  <c r="N88" i="37"/>
  <c r="N92" i="37"/>
  <c r="K101" i="37"/>
  <c r="N106" i="37"/>
  <c r="I128" i="37"/>
  <c r="P124" i="37"/>
  <c r="Y62" i="37"/>
  <c r="V62" i="37"/>
  <c r="Z114" i="37"/>
  <c r="AH114" i="37" s="1"/>
  <c r="S125" i="37"/>
  <c r="P113" i="37"/>
  <c r="E82" i="37"/>
  <c r="E84" i="37" s="1"/>
  <c r="I105" i="37"/>
  <c r="O113" i="37"/>
  <c r="N63" i="37"/>
  <c r="I101" i="37"/>
  <c r="L101" i="37"/>
  <c r="N121" i="37"/>
  <c r="N122" i="37"/>
  <c r="X125" i="37"/>
  <c r="O114" i="37"/>
  <c r="W125" i="37"/>
  <c r="C105" i="37"/>
  <c r="E119" i="37"/>
  <c r="S16" i="37"/>
  <c r="X16" i="37"/>
  <c r="L16" i="37"/>
  <c r="R16" i="37"/>
  <c r="H94" i="37"/>
  <c r="N89" i="37"/>
  <c r="S90" i="37"/>
  <c r="Y99" i="37"/>
  <c r="Y125" i="37"/>
  <c r="M16" i="37"/>
  <c r="N64" i="37"/>
  <c r="AA8" i="37"/>
  <c r="N11" i="37"/>
  <c r="L69" i="37"/>
  <c r="L94" i="37"/>
  <c r="W113" i="37"/>
  <c r="Y90" i="37"/>
  <c r="U114" i="37"/>
  <c r="U113" i="37"/>
  <c r="K69" i="37"/>
  <c r="M119" i="37"/>
  <c r="M128" i="37" s="1"/>
  <c r="J16" i="37"/>
  <c r="M101" i="37"/>
  <c r="P99" i="37"/>
  <c r="X99" i="37"/>
  <c r="M105" i="37"/>
  <c r="G119" i="37"/>
  <c r="G128" i="37" s="1"/>
  <c r="W16" i="37"/>
  <c r="K16" i="37"/>
  <c r="Q16" i="37"/>
  <c r="J101" i="37"/>
  <c r="J94" i="37"/>
  <c r="AA43" i="37"/>
  <c r="T125" i="37"/>
  <c r="R125" i="37"/>
  <c r="H109" i="37"/>
  <c r="M82" i="37"/>
  <c r="W82" i="37" s="1"/>
  <c r="W84" i="37" s="1"/>
  <c r="C82" i="37"/>
  <c r="C84" i="37" s="1"/>
  <c r="T16" i="37"/>
  <c r="N126" i="37"/>
  <c r="N51" i="37"/>
  <c r="O16" i="37"/>
  <c r="C16" i="37"/>
  <c r="N44" i="37"/>
  <c r="N104" i="37"/>
  <c r="N123" i="37"/>
  <c r="N125" i="37"/>
  <c r="B94" i="37"/>
  <c r="N90" i="37"/>
  <c r="AD113" i="37"/>
  <c r="AM113" i="37"/>
  <c r="AJ113" i="37"/>
  <c r="AL113" i="37"/>
  <c r="AK113" i="37"/>
  <c r="AC113" i="37"/>
  <c r="AG113" i="37"/>
  <c r="AI113" i="37"/>
  <c r="AF113" i="37"/>
  <c r="AB113" i="37"/>
  <c r="AE113" i="37"/>
  <c r="AH113" i="37"/>
  <c r="N113" i="37"/>
  <c r="N99" i="37"/>
  <c r="P104" i="37"/>
  <c r="O104" i="37"/>
  <c r="Z104" i="37"/>
  <c r="X104" i="37"/>
  <c r="W104" i="37"/>
  <c r="U104" i="37"/>
  <c r="T104" i="37"/>
  <c r="R104" i="37"/>
  <c r="Y104" i="37"/>
  <c r="Q104" i="37"/>
  <c r="S104" i="37"/>
  <c r="Y126" i="37"/>
  <c r="Z126" i="37"/>
  <c r="Q126" i="37"/>
  <c r="O126" i="37"/>
  <c r="U126" i="37"/>
  <c r="W126" i="37"/>
  <c r="P126" i="37"/>
  <c r="X126" i="37"/>
  <c r="T126" i="37"/>
  <c r="N87" i="37"/>
  <c r="BA50" i="37"/>
  <c r="N62" i="37"/>
  <c r="N97" i="37"/>
  <c r="N9" i="37"/>
  <c r="P66" i="37"/>
  <c r="Y66" i="37"/>
  <c r="X66" i="37"/>
  <c r="R66" i="37"/>
  <c r="U66" i="37"/>
  <c r="V66" i="37"/>
  <c r="Q66" i="37"/>
  <c r="T66" i="37"/>
  <c r="Z66" i="37"/>
  <c r="O66" i="37"/>
  <c r="M69" i="37"/>
  <c r="E94" i="37"/>
  <c r="O44" i="37"/>
  <c r="N61" i="37"/>
  <c r="N72" i="37"/>
  <c r="AN50" i="37"/>
  <c r="C69" i="37"/>
  <c r="N91" i="37"/>
  <c r="AA49" i="37"/>
  <c r="AI98" i="37"/>
  <c r="AC98" i="37"/>
  <c r="AM98" i="37"/>
  <c r="AK98" i="37"/>
  <c r="AB98" i="37"/>
  <c r="AH98" i="37"/>
  <c r="AG98" i="37"/>
  <c r="AL98" i="37"/>
  <c r="AD98" i="37"/>
  <c r="AJ98" i="37"/>
  <c r="AA9" i="37"/>
  <c r="D16" i="37"/>
  <c r="U16" i="37"/>
  <c r="C94" i="37"/>
  <c r="R121" i="37"/>
  <c r="AA11" i="37"/>
  <c r="E16" i="37"/>
  <c r="V16" i="37"/>
  <c r="O124" i="37"/>
  <c r="Q91" i="37"/>
  <c r="X121" i="37"/>
  <c r="T91" i="37"/>
  <c r="F16" i="37"/>
  <c r="T124" i="37"/>
  <c r="U122" i="37"/>
  <c r="W90" i="37"/>
  <c r="X90" i="37"/>
  <c r="S121" i="37"/>
  <c r="X91" i="37"/>
  <c r="H16" i="37"/>
  <c r="Y16" i="37"/>
  <c r="Z90" i="37"/>
  <c r="V121" i="37"/>
  <c r="I16" i="37"/>
  <c r="P90" i="37"/>
  <c r="T90" i="37"/>
  <c r="R91" i="37"/>
  <c r="Z91" i="37"/>
  <c r="Y91" i="37"/>
  <c r="W91" i="37"/>
  <c r="AO43" i="37"/>
  <c r="N120" i="37"/>
  <c r="N21" i="37"/>
  <c r="AA21" i="37"/>
  <c r="O24" i="37"/>
  <c r="O112" i="37" s="1"/>
  <c r="AA10" i="37"/>
  <c r="N10" i="37"/>
  <c r="K24" i="37"/>
  <c r="K112" i="37" s="1"/>
  <c r="G24" i="37"/>
  <c r="G112" i="37" s="1"/>
  <c r="N22" i="37"/>
  <c r="V24" i="37"/>
  <c r="V112" i="37" s="1"/>
  <c r="J13" i="7"/>
  <c r="V94" i="7"/>
  <c r="U87" i="7"/>
  <c r="X87" i="7"/>
  <c r="R83" i="7"/>
  <c r="W87" i="7"/>
  <c r="U94" i="7"/>
  <c r="N102" i="7"/>
  <c r="C104" i="7"/>
  <c r="I104" i="7"/>
  <c r="N57" i="7"/>
  <c r="N93" i="7"/>
  <c r="N82" i="7"/>
  <c r="E89" i="7"/>
  <c r="N119" i="7"/>
  <c r="N117" i="7"/>
  <c r="N84" i="7"/>
  <c r="P13" i="7"/>
  <c r="T94" i="7"/>
  <c r="S94" i="7"/>
  <c r="R94" i="7"/>
  <c r="P83" i="7"/>
  <c r="Q94" i="7"/>
  <c r="Q83" i="7"/>
  <c r="P94" i="7"/>
  <c r="O83" i="7"/>
  <c r="O94" i="7"/>
  <c r="Z83" i="7"/>
  <c r="D89" i="7"/>
  <c r="Z94" i="7"/>
  <c r="Y83" i="7"/>
  <c r="L104" i="7"/>
  <c r="N51" i="7"/>
  <c r="D96" i="7"/>
  <c r="N122" i="7"/>
  <c r="I13" i="7"/>
  <c r="Y94" i="7"/>
  <c r="X83" i="7"/>
  <c r="X94" i="7"/>
  <c r="V83" i="7"/>
  <c r="T13" i="7"/>
  <c r="W83" i="7"/>
  <c r="N77" i="7"/>
  <c r="N79" i="7" s="1"/>
  <c r="U83" i="7"/>
  <c r="V39" i="7"/>
  <c r="Z110" i="7"/>
  <c r="Z86" i="7"/>
  <c r="O110" i="7"/>
  <c r="P86" i="7"/>
  <c r="G13" i="7"/>
  <c r="X39" i="7"/>
  <c r="Y110" i="7"/>
  <c r="X86" i="7"/>
  <c r="W39" i="7"/>
  <c r="B13" i="7"/>
  <c r="F13" i="7"/>
  <c r="D13" i="7"/>
  <c r="T39" i="7"/>
  <c r="X110" i="7"/>
  <c r="Y86" i="7"/>
  <c r="N108" i="7"/>
  <c r="S39" i="7"/>
  <c r="V110" i="7"/>
  <c r="V86" i="7"/>
  <c r="I89" i="7"/>
  <c r="M13" i="7"/>
  <c r="Q39" i="7"/>
  <c r="U110" i="7"/>
  <c r="U86" i="7"/>
  <c r="R13" i="7"/>
  <c r="AA9" i="7"/>
  <c r="R39" i="7"/>
  <c r="T110" i="7"/>
  <c r="T86" i="7"/>
  <c r="K89" i="7"/>
  <c r="S13" i="7"/>
  <c r="P39" i="7"/>
  <c r="F64" i="7"/>
  <c r="O39" i="7"/>
  <c r="Z39" i="7"/>
  <c r="O67" i="7"/>
  <c r="H104" i="7"/>
  <c r="N58" i="7"/>
  <c r="J64" i="7"/>
  <c r="K64" i="7"/>
  <c r="N109" i="7"/>
  <c r="E64" i="7"/>
  <c r="G104" i="7"/>
  <c r="I64" i="7"/>
  <c r="J96" i="7"/>
  <c r="N83" i="7"/>
  <c r="F89" i="7"/>
  <c r="N115" i="7"/>
  <c r="F96" i="7"/>
  <c r="S110" i="7"/>
  <c r="R86" i="7"/>
  <c r="B89" i="7"/>
  <c r="R110" i="7"/>
  <c r="S86" i="7"/>
  <c r="N67" i="7"/>
  <c r="N39" i="7"/>
  <c r="N59" i="7"/>
  <c r="N56" i="7"/>
  <c r="H96" i="7"/>
  <c r="N61" i="7"/>
  <c r="N86" i="7"/>
  <c r="N120" i="7"/>
  <c r="N118" i="7"/>
  <c r="N110" i="7"/>
  <c r="N116" i="7"/>
  <c r="Q110" i="7"/>
  <c r="O86" i="7"/>
  <c r="AC128" i="7"/>
  <c r="R26" i="21"/>
  <c r="N101" i="7"/>
  <c r="N99" i="7"/>
  <c r="N129" i="7"/>
  <c r="L13" i="7"/>
  <c r="H64" i="7"/>
  <c r="Z116" i="7"/>
  <c r="Z93" i="7"/>
  <c r="Z101" i="7"/>
  <c r="V87" i="7"/>
  <c r="Z108" i="7"/>
  <c r="N94" i="7"/>
  <c r="N38" i="7"/>
  <c r="T87" i="7"/>
  <c r="C13" i="7"/>
  <c r="C64" i="7"/>
  <c r="N92" i="7"/>
  <c r="AA11" i="7"/>
  <c r="O116" i="7"/>
  <c r="W93" i="7"/>
  <c r="S87" i="7"/>
  <c r="R87" i="7"/>
  <c r="K13" i="7"/>
  <c r="E13" i="7"/>
  <c r="W116" i="7"/>
  <c r="Y101" i="7"/>
  <c r="Q87" i="7"/>
  <c r="M104" i="7"/>
  <c r="H89" i="7"/>
  <c r="U116" i="7"/>
  <c r="X101" i="7"/>
  <c r="Y108" i="7"/>
  <c r="P87" i="7"/>
  <c r="M96" i="7"/>
  <c r="W13" i="7"/>
  <c r="T116" i="7"/>
  <c r="W101" i="7"/>
  <c r="X108" i="7"/>
  <c r="O87" i="7"/>
  <c r="X13" i="7"/>
  <c r="M89" i="7"/>
  <c r="S116" i="7"/>
  <c r="V101" i="7"/>
  <c r="W108" i="7"/>
  <c r="N87" i="7"/>
  <c r="Q26" i="21"/>
  <c r="T93" i="7"/>
  <c r="U101" i="7"/>
  <c r="S108" i="7"/>
  <c r="V108" i="7"/>
  <c r="U108" i="7"/>
  <c r="O13" i="7"/>
  <c r="V13" i="7"/>
  <c r="C89" i="7"/>
  <c r="S93" i="7"/>
  <c r="S101" i="7"/>
  <c r="AA129" i="7"/>
  <c r="Q27" i="21" s="1"/>
  <c r="Q108" i="7"/>
  <c r="T108" i="7"/>
  <c r="T101" i="7"/>
  <c r="O27" i="21"/>
  <c r="AA8" i="7"/>
  <c r="R93" i="7"/>
  <c r="R101" i="7"/>
  <c r="P108" i="7"/>
  <c r="R108" i="7"/>
  <c r="Y87" i="7"/>
  <c r="S38" i="7"/>
  <c r="R38" i="7"/>
  <c r="T38" i="7"/>
  <c r="Y38" i="7"/>
  <c r="H13" i="7"/>
  <c r="N10" i="7"/>
  <c r="AA18" i="37"/>
  <c r="F24" i="37"/>
  <c r="F112" i="37" s="1"/>
  <c r="S24" i="37"/>
  <c r="S112" i="37" s="1"/>
  <c r="R24" i="37"/>
  <c r="R112" i="37" s="1"/>
  <c r="L24" i="37"/>
  <c r="L112" i="37" s="1"/>
  <c r="P24" i="37"/>
  <c r="P112" i="37" s="1"/>
  <c r="X24" i="37"/>
  <c r="X112" i="37" s="1"/>
  <c r="E24" i="37"/>
  <c r="AA22" i="37"/>
  <c r="B24" i="37"/>
  <c r="W24" i="37"/>
  <c r="W112" i="37" s="1"/>
  <c r="U24" i="37"/>
  <c r="U112" i="37" s="1"/>
  <c r="H24" i="37"/>
  <c r="H112" i="37" s="1"/>
  <c r="Z24" i="37"/>
  <c r="Z112" i="37" s="1"/>
  <c r="I24" i="37"/>
  <c r="I112" i="37" s="1"/>
  <c r="T24" i="37"/>
  <c r="T112" i="37" s="1"/>
  <c r="J24" i="37"/>
  <c r="J112" i="37" s="1"/>
  <c r="D24" i="37"/>
  <c r="M24" i="37"/>
  <c r="M112" i="37" s="1"/>
  <c r="Y24" i="37"/>
  <c r="Y112" i="37" s="1"/>
  <c r="N19" i="37"/>
  <c r="AA19" i="37"/>
  <c r="C24" i="37"/>
  <c r="N18" i="37"/>
  <c r="Q24" i="37"/>
  <c r="Q112" i="37" s="1"/>
  <c r="AD8" i="7"/>
  <c r="AC9" i="7"/>
  <c r="AD9" i="7" s="1"/>
  <c r="AB13" i="7"/>
  <c r="AA10" i="7"/>
  <c r="Z13" i="7"/>
  <c r="N11" i="7"/>
  <c r="N8" i="7"/>
  <c r="N9" i="7"/>
  <c r="AN43" i="37" l="1"/>
  <c r="I109" i="37"/>
  <c r="G109" i="37"/>
  <c r="S107" i="37"/>
  <c r="J109" i="37"/>
  <c r="N107" i="37"/>
  <c r="E109" i="37"/>
  <c r="AM42" i="37"/>
  <c r="AC42" i="37"/>
  <c r="AD42" i="37"/>
  <c r="AE42" i="37"/>
  <c r="AF42" i="37"/>
  <c r="AG42" i="37"/>
  <c r="AH42" i="37"/>
  <c r="AI42" i="37"/>
  <c r="AB42" i="37"/>
  <c r="AJ42" i="37"/>
  <c r="AK42" i="37"/>
  <c r="AL42" i="37"/>
  <c r="AE44" i="37"/>
  <c r="AF44" i="37"/>
  <c r="AG44" i="37"/>
  <c r="AH44" i="37"/>
  <c r="AI44" i="37"/>
  <c r="AJ44" i="37"/>
  <c r="AK44" i="37"/>
  <c r="AL44" i="37"/>
  <c r="AM44" i="37"/>
  <c r="AC44" i="37"/>
  <c r="AD44" i="37"/>
  <c r="L109" i="37"/>
  <c r="K109" i="37"/>
  <c r="B109" i="37"/>
  <c r="AP43" i="37"/>
  <c r="AQ43" i="37"/>
  <c r="AR43" i="37"/>
  <c r="AT43" i="37"/>
  <c r="AS43" i="37"/>
  <c r="AU43" i="37"/>
  <c r="AV43" i="37"/>
  <c r="AW43" i="37"/>
  <c r="AX43" i="37"/>
  <c r="AY43" i="37"/>
  <c r="AZ43" i="37"/>
  <c r="P107" i="37"/>
  <c r="X107" i="37"/>
  <c r="Z107" i="37"/>
  <c r="AJ107" i="37" s="1"/>
  <c r="V107" i="37"/>
  <c r="U107" i="37"/>
  <c r="F109" i="37"/>
  <c r="Q107" i="37"/>
  <c r="AD61" i="37"/>
  <c r="O107" i="37"/>
  <c r="T107" i="37"/>
  <c r="Y107" i="37"/>
  <c r="R107" i="37"/>
  <c r="AS27" i="37"/>
  <c r="AY27" i="37"/>
  <c r="AW27" i="37"/>
  <c r="AE61" i="37"/>
  <c r="I79" i="37"/>
  <c r="AT27" i="37"/>
  <c r="AZ27" i="37"/>
  <c r="AQ27" i="37"/>
  <c r="AR27" i="37"/>
  <c r="AV27" i="37"/>
  <c r="AO27" i="37"/>
  <c r="AX27" i="37"/>
  <c r="AU27" i="37"/>
  <c r="AB61" i="37"/>
  <c r="AH61" i="37"/>
  <c r="Z101" i="37"/>
  <c r="AJ61" i="37"/>
  <c r="AF61" i="37"/>
  <c r="AI61" i="37"/>
  <c r="AK61" i="37"/>
  <c r="AG61" i="37"/>
  <c r="AC61" i="37"/>
  <c r="U31" i="37"/>
  <c r="U131" i="37" s="1"/>
  <c r="AM61" i="37"/>
  <c r="AS61" i="37" s="1"/>
  <c r="AU21" i="37"/>
  <c r="AW21" i="37"/>
  <c r="AV21" i="37"/>
  <c r="AX21" i="37"/>
  <c r="AO21" i="37"/>
  <c r="AY21" i="37"/>
  <c r="AZ21" i="37"/>
  <c r="AP21" i="37"/>
  <c r="AQ21" i="37"/>
  <c r="AR21" i="37"/>
  <c r="AS21" i="37"/>
  <c r="AT21" i="37"/>
  <c r="AP20" i="37"/>
  <c r="AR20" i="37"/>
  <c r="AO20" i="37"/>
  <c r="AQ20" i="37"/>
  <c r="AS20" i="37"/>
  <c r="AT20" i="37"/>
  <c r="AU20" i="37"/>
  <c r="AV20" i="37"/>
  <c r="AW20" i="37"/>
  <c r="AX20" i="37"/>
  <c r="AY20" i="37"/>
  <c r="AZ20" i="37"/>
  <c r="AZ22" i="37"/>
  <c r="AO22" i="37"/>
  <c r="AP22" i="37"/>
  <c r="AQ22" i="37"/>
  <c r="AR22" i="37"/>
  <c r="AT22" i="37"/>
  <c r="AU22" i="37"/>
  <c r="AS22" i="37"/>
  <c r="AV22" i="37"/>
  <c r="AY22" i="37"/>
  <c r="AW22" i="37"/>
  <c r="AX22" i="37"/>
  <c r="AZ18" i="37"/>
  <c r="AX18" i="37"/>
  <c r="AO18" i="37"/>
  <c r="AP18" i="37"/>
  <c r="AQ18" i="37"/>
  <c r="AR18" i="37"/>
  <c r="AT18" i="37"/>
  <c r="AU18" i="37"/>
  <c r="AS18" i="37"/>
  <c r="AY18" i="37"/>
  <c r="AV18" i="37"/>
  <c r="AW18" i="37"/>
  <c r="AZ19" i="37"/>
  <c r="AO19" i="37"/>
  <c r="AP19" i="37"/>
  <c r="AR19" i="37"/>
  <c r="AQ19" i="37"/>
  <c r="AS19" i="37"/>
  <c r="AT19" i="37"/>
  <c r="AU19" i="37"/>
  <c r="AV19" i="37"/>
  <c r="AW19" i="37"/>
  <c r="AY19" i="37"/>
  <c r="AX19" i="37"/>
  <c r="S31" i="37"/>
  <c r="S131" i="37" s="1"/>
  <c r="AL89" i="37"/>
  <c r="D31" i="37"/>
  <c r="X31" i="37"/>
  <c r="X131" i="37" s="1"/>
  <c r="G31" i="37"/>
  <c r="T31" i="37"/>
  <c r="W31" i="37"/>
  <c r="F31" i="37"/>
  <c r="M31" i="37"/>
  <c r="M131" i="37" s="1"/>
  <c r="H31" i="37"/>
  <c r="H116" i="37" s="1"/>
  <c r="V31" i="37"/>
  <c r="J31" i="37"/>
  <c r="J131" i="37" s="1"/>
  <c r="P31" i="37"/>
  <c r="P131" i="37" s="1"/>
  <c r="E31" i="37"/>
  <c r="E131" i="37" s="1"/>
  <c r="N37" i="37"/>
  <c r="AA37" i="37"/>
  <c r="K79" i="37"/>
  <c r="N33" i="7"/>
  <c r="Z74" i="7"/>
  <c r="Y64" i="7"/>
  <c r="O64" i="7"/>
  <c r="Y104" i="7"/>
  <c r="AA57" i="7"/>
  <c r="AB57" i="7" s="1"/>
  <c r="AC57" i="7" s="1"/>
  <c r="AD57" i="7" s="1"/>
  <c r="P104" i="7"/>
  <c r="AA117" i="7"/>
  <c r="AB117" i="7" s="1"/>
  <c r="AC117" i="7" s="1"/>
  <c r="AD117" i="7" s="1"/>
  <c r="AA102" i="7"/>
  <c r="AB102" i="7" s="1"/>
  <c r="AC102" i="7" s="1"/>
  <c r="AD102" i="7" s="1"/>
  <c r="AA59" i="7"/>
  <c r="AB59" i="7" s="1"/>
  <c r="AC59" i="7" s="1"/>
  <c r="AD59" i="7" s="1"/>
  <c r="P64" i="7"/>
  <c r="Q104" i="7"/>
  <c r="U64" i="7"/>
  <c r="V64" i="7"/>
  <c r="R64" i="7"/>
  <c r="AA58" i="7"/>
  <c r="AB58" i="7" s="1"/>
  <c r="AC58" i="7" s="1"/>
  <c r="AD58" i="7" s="1"/>
  <c r="W64" i="7"/>
  <c r="AA56" i="7"/>
  <c r="AB56" i="7" s="1"/>
  <c r="AA115" i="7"/>
  <c r="AB115" i="7" s="1"/>
  <c r="AC115" i="7" s="1"/>
  <c r="AD115" i="7" s="1"/>
  <c r="Z64" i="7"/>
  <c r="O104" i="7"/>
  <c r="S64" i="7"/>
  <c r="X64" i="7"/>
  <c r="Q64" i="7"/>
  <c r="T64" i="7"/>
  <c r="W104" i="7"/>
  <c r="W96" i="7"/>
  <c r="V104" i="7"/>
  <c r="P96" i="7"/>
  <c r="Q96" i="7"/>
  <c r="AA85" i="7"/>
  <c r="AB85" i="7" s="1"/>
  <c r="AC85" i="7" s="1"/>
  <c r="AD85" i="7" s="1"/>
  <c r="AA100" i="7"/>
  <c r="AB100" i="7" s="1"/>
  <c r="AC100" i="7" s="1"/>
  <c r="AD100" i="7" s="1"/>
  <c r="Z104" i="7"/>
  <c r="R104" i="7"/>
  <c r="S104" i="7"/>
  <c r="X104" i="7"/>
  <c r="AA122" i="7"/>
  <c r="AB122" i="7" s="1"/>
  <c r="AC122" i="7" s="1"/>
  <c r="AD122" i="7" s="1"/>
  <c r="AA82" i="7"/>
  <c r="AB82" i="7" s="1"/>
  <c r="AC82" i="7" s="1"/>
  <c r="X96" i="7"/>
  <c r="AA118" i="7"/>
  <c r="AB118" i="7" s="1"/>
  <c r="AC118" i="7" s="1"/>
  <c r="AD118" i="7" s="1"/>
  <c r="T96" i="7"/>
  <c r="AA92" i="7"/>
  <c r="AB92" i="7" s="1"/>
  <c r="AC92" i="7" s="1"/>
  <c r="Q89" i="7"/>
  <c r="AA109" i="7"/>
  <c r="AB109" i="7" s="1"/>
  <c r="AC109" i="7" s="1"/>
  <c r="AD109" i="7" s="1"/>
  <c r="AA61" i="7"/>
  <c r="AB61" i="7" s="1"/>
  <c r="AC61" i="7" s="1"/>
  <c r="AD61" i="7" s="1"/>
  <c r="AA51" i="7"/>
  <c r="AB51" i="7" s="1"/>
  <c r="AC51" i="7" s="1"/>
  <c r="AD51" i="7" s="1"/>
  <c r="R96" i="7"/>
  <c r="N16" i="7"/>
  <c r="AA18" i="7"/>
  <c r="AC18" i="7" s="1"/>
  <c r="AD18" i="7" s="1"/>
  <c r="AA99" i="7"/>
  <c r="AB99" i="7" s="1"/>
  <c r="AC99" i="7" s="1"/>
  <c r="AA120" i="7"/>
  <c r="AB120" i="7" s="1"/>
  <c r="AC120" i="7" s="1"/>
  <c r="AD120" i="7" s="1"/>
  <c r="X89" i="7"/>
  <c r="O96" i="7"/>
  <c r="AA119" i="7"/>
  <c r="AB119" i="7" s="1"/>
  <c r="AC119" i="7" s="1"/>
  <c r="AD119" i="7" s="1"/>
  <c r="Y96" i="7"/>
  <c r="AA77" i="7"/>
  <c r="AA79" i="7" s="1"/>
  <c r="Z89" i="7"/>
  <c r="N18" i="7"/>
  <c r="U104" i="7"/>
  <c r="AA84" i="7"/>
  <c r="AB84" i="7" s="1"/>
  <c r="AC84" i="7" s="1"/>
  <c r="AD84" i="7" s="1"/>
  <c r="V96" i="7"/>
  <c r="N17" i="7"/>
  <c r="T104" i="7"/>
  <c r="O79" i="7"/>
  <c r="U89" i="7"/>
  <c r="AA17" i="7"/>
  <c r="AC17" i="7" s="1"/>
  <c r="AD17" i="7" s="1"/>
  <c r="W89" i="7"/>
  <c r="P89" i="7"/>
  <c r="U96" i="7"/>
  <c r="AA16" i="7"/>
  <c r="AC16" i="7" s="1"/>
  <c r="AD16" i="7" s="1"/>
  <c r="Z96" i="7"/>
  <c r="N96" i="7"/>
  <c r="AB129" i="7"/>
  <c r="AC129" i="7" s="1"/>
  <c r="AA83" i="7"/>
  <c r="AB83" i="7" s="1"/>
  <c r="AC83" i="7" s="1"/>
  <c r="AD83" i="7" s="1"/>
  <c r="Y31" i="37"/>
  <c r="B31" i="37"/>
  <c r="B131" i="37" s="1"/>
  <c r="AJ63" i="37"/>
  <c r="AL63" i="37"/>
  <c r="O31" i="37"/>
  <c r="O131" i="37" s="1"/>
  <c r="C31" i="37"/>
  <c r="C116" i="37" s="1"/>
  <c r="I31" i="37"/>
  <c r="I131" i="37" s="1"/>
  <c r="AD99" i="37"/>
  <c r="AD101" i="37" s="1"/>
  <c r="Q31" i="37"/>
  <c r="R31" i="37"/>
  <c r="R131" i="37" s="1"/>
  <c r="K31" i="37"/>
  <c r="K131" i="37" s="1"/>
  <c r="L31" i="37"/>
  <c r="L131" i="37" s="1"/>
  <c r="P101" i="37"/>
  <c r="AX123" i="37"/>
  <c r="AA61" i="37"/>
  <c r="AN61" i="37" s="1"/>
  <c r="Q82" i="37"/>
  <c r="Q84" i="37" s="1"/>
  <c r="AJ122" i="37"/>
  <c r="F128" i="37"/>
  <c r="AR97" i="37"/>
  <c r="AI63" i="37"/>
  <c r="AE63" i="37"/>
  <c r="AB63" i="37"/>
  <c r="AG63" i="37"/>
  <c r="AH63" i="37"/>
  <c r="AK89" i="37"/>
  <c r="AB89" i="37"/>
  <c r="AI121" i="37"/>
  <c r="AL121" i="37"/>
  <c r="AZ123" i="37"/>
  <c r="AJ124" i="37"/>
  <c r="W94" i="37"/>
  <c r="AJ89" i="37"/>
  <c r="AE124" i="37"/>
  <c r="E128" i="37"/>
  <c r="B128" i="37"/>
  <c r="AD121" i="37"/>
  <c r="S69" i="37"/>
  <c r="AA64" i="37"/>
  <c r="AN64" i="37" s="1"/>
  <c r="AD64" i="37"/>
  <c r="J58" i="37"/>
  <c r="AL64" i="37"/>
  <c r="AH120" i="37"/>
  <c r="AK121" i="37"/>
  <c r="AE89" i="37"/>
  <c r="AK63" i="37"/>
  <c r="X101" i="37"/>
  <c r="L128" i="37"/>
  <c r="H128" i="37"/>
  <c r="D128" i="37"/>
  <c r="V119" i="37"/>
  <c r="V128" i="37" s="1"/>
  <c r="AM63" i="37"/>
  <c r="AR63" i="37" s="1"/>
  <c r="AK88" i="37"/>
  <c r="S101" i="37"/>
  <c r="AA97" i="37"/>
  <c r="AN97" i="37" s="1"/>
  <c r="C128" i="37"/>
  <c r="G116" i="37"/>
  <c r="O94" i="37"/>
  <c r="AD63" i="37"/>
  <c r="AL99" i="37"/>
  <c r="AL101" i="37" s="1"/>
  <c r="AI89" i="37"/>
  <c r="AR123" i="37"/>
  <c r="AC64" i="37"/>
  <c r="AF63" i="37"/>
  <c r="AI99" i="37"/>
  <c r="AI101" i="37" s="1"/>
  <c r="AI64" i="37"/>
  <c r="AE99" i="37"/>
  <c r="AE101" i="37" s="1"/>
  <c r="AS97" i="37"/>
  <c r="AA63" i="37"/>
  <c r="AN63" i="37" s="1"/>
  <c r="AJ64" i="37"/>
  <c r="AF64" i="37"/>
  <c r="O69" i="37"/>
  <c r="AK64" i="37"/>
  <c r="AB124" i="37"/>
  <c r="K128" i="37"/>
  <c r="W69" i="37"/>
  <c r="AG64" i="37"/>
  <c r="AF124" i="37"/>
  <c r="AC124" i="37"/>
  <c r="AM124" i="37"/>
  <c r="AY124" i="37" s="1"/>
  <c r="T69" i="37"/>
  <c r="AK114" i="37"/>
  <c r="AC122" i="37"/>
  <c r="AF114" i="37"/>
  <c r="AI114" i="37"/>
  <c r="AJ88" i="37"/>
  <c r="AD124" i="37"/>
  <c r="AD114" i="37"/>
  <c r="AG124" i="37"/>
  <c r="U101" i="37"/>
  <c r="AH64" i="37"/>
  <c r="AA123" i="37"/>
  <c r="AN123" i="37" s="1"/>
  <c r="AH124" i="37"/>
  <c r="AE64" i="37"/>
  <c r="AM64" i="37"/>
  <c r="AV64" i="37" s="1"/>
  <c r="X69" i="37"/>
  <c r="AK124" i="37"/>
  <c r="AF122" i="37"/>
  <c r="T101" i="37"/>
  <c r="N124" i="37"/>
  <c r="AJ114" i="37"/>
  <c r="AH88" i="37"/>
  <c r="AA89" i="37"/>
  <c r="AN89" i="37" s="1"/>
  <c r="AC114" i="37"/>
  <c r="O101" i="37"/>
  <c r="AG99" i="37"/>
  <c r="AG101" i="37" s="1"/>
  <c r="AK99" i="37"/>
  <c r="AK101" i="37" s="1"/>
  <c r="AB99" i="37"/>
  <c r="AB101" i="37" s="1"/>
  <c r="AC99" i="37"/>
  <c r="AC101" i="37" s="1"/>
  <c r="Y116" i="37"/>
  <c r="AI88" i="37"/>
  <c r="Q101" i="37"/>
  <c r="AM89" i="37"/>
  <c r="AF89" i="37"/>
  <c r="AG89" i="37"/>
  <c r="AD89" i="37"/>
  <c r="AM99" i="37"/>
  <c r="AM101" i="37" s="1"/>
  <c r="AC89" i="37"/>
  <c r="AI124" i="37"/>
  <c r="AH99" i="37"/>
  <c r="AH101" i="37" s="1"/>
  <c r="AN49" i="37"/>
  <c r="AE122" i="37"/>
  <c r="AT123" i="37"/>
  <c r="AS123" i="37"/>
  <c r="AF99" i="37"/>
  <c r="AF101" i="37" s="1"/>
  <c r="AM121" i="37"/>
  <c r="AO121" i="37" s="1"/>
  <c r="AV123" i="37"/>
  <c r="V94" i="37"/>
  <c r="AA87" i="37"/>
  <c r="AN87" i="37" s="1"/>
  <c r="AZ97" i="37"/>
  <c r="AB88" i="37"/>
  <c r="AO97" i="37"/>
  <c r="V101" i="37"/>
  <c r="L58" i="37"/>
  <c r="AP97" i="37"/>
  <c r="AW87" i="37"/>
  <c r="N119" i="37"/>
  <c r="W101" i="37"/>
  <c r="H58" i="37"/>
  <c r="Y94" i="37"/>
  <c r="AD122" i="37"/>
  <c r="U69" i="37"/>
  <c r="AT97" i="37"/>
  <c r="AA125" i="37"/>
  <c r="AN125" i="37" s="1"/>
  <c r="AA62" i="37"/>
  <c r="AN62" i="37" s="1"/>
  <c r="AM122" i="37"/>
  <c r="AY122" i="37" s="1"/>
  <c r="AJ101" i="37"/>
  <c r="R69" i="37"/>
  <c r="AQ97" i="37"/>
  <c r="AP87" i="37"/>
  <c r="R101" i="37"/>
  <c r="AL88" i="37"/>
  <c r="J128" i="37"/>
  <c r="AG122" i="37"/>
  <c r="AE88" i="37"/>
  <c r="U94" i="37"/>
  <c r="AL122" i="37"/>
  <c r="AM88" i="37"/>
  <c r="AP88" i="37" s="1"/>
  <c r="AF121" i="37"/>
  <c r="Q69" i="37"/>
  <c r="E58" i="37"/>
  <c r="Y69" i="37"/>
  <c r="AA120" i="37"/>
  <c r="AN120" i="37" s="1"/>
  <c r="G58" i="37"/>
  <c r="Z82" i="37"/>
  <c r="AH82" i="37" s="1"/>
  <c r="AH84" i="37" s="1"/>
  <c r="AC88" i="37"/>
  <c r="AG88" i="37"/>
  <c r="AF88" i="37"/>
  <c r="Y101" i="37"/>
  <c r="R94" i="37"/>
  <c r="N52" i="37"/>
  <c r="AA122" i="37"/>
  <c r="AN122" i="37" s="1"/>
  <c r="AN51" i="37"/>
  <c r="AM114" i="37"/>
  <c r="AY114" i="37" s="1"/>
  <c r="AA106" i="37"/>
  <c r="AN106" i="37" s="1"/>
  <c r="AW123" i="37"/>
  <c r="P69" i="37"/>
  <c r="F116" i="37"/>
  <c r="I58" i="37"/>
  <c r="AC121" i="37"/>
  <c r="S82" i="37"/>
  <c r="S84" i="37" s="1"/>
  <c r="Z119" i="37"/>
  <c r="AI119" i="37" s="1"/>
  <c r="N101" i="37"/>
  <c r="AW97" i="37"/>
  <c r="AL114" i="37"/>
  <c r="V82" i="37"/>
  <c r="V84" i="37" s="1"/>
  <c r="Q94" i="37"/>
  <c r="Q119" i="37"/>
  <c r="Q128" i="37" s="1"/>
  <c r="AY97" i="37"/>
  <c r="AB122" i="37"/>
  <c r="AK122" i="37"/>
  <c r="AI122" i="37"/>
  <c r="AQ87" i="37"/>
  <c r="AS87" i="37"/>
  <c r="AZ87" i="37"/>
  <c r="AX87" i="37"/>
  <c r="AV87" i="37"/>
  <c r="AU87" i="37"/>
  <c r="AR87" i="37"/>
  <c r="AO87" i="37"/>
  <c r="AT87" i="37"/>
  <c r="N54" i="37"/>
  <c r="D58" i="37"/>
  <c r="O82" i="37"/>
  <c r="O84" i="37" s="1"/>
  <c r="Y119" i="37"/>
  <c r="Y128" i="37" s="1"/>
  <c r="AA92" i="37"/>
  <c r="AN92" i="37" s="1"/>
  <c r="K58" i="37"/>
  <c r="N105" i="37"/>
  <c r="N109" i="37" s="1"/>
  <c r="AB56" i="37"/>
  <c r="AA98" i="37"/>
  <c r="AN98" i="37" s="1"/>
  <c r="T116" i="37"/>
  <c r="AA88" i="37"/>
  <c r="AN88" i="37" s="1"/>
  <c r="AE121" i="37"/>
  <c r="AJ121" i="37"/>
  <c r="AB121" i="37"/>
  <c r="AG121" i="37"/>
  <c r="AA42" i="37"/>
  <c r="X94" i="37"/>
  <c r="N94" i="37"/>
  <c r="AA113" i="37"/>
  <c r="AN113" i="37" s="1"/>
  <c r="AV97" i="37"/>
  <c r="AU97" i="37"/>
  <c r="AQ123" i="37"/>
  <c r="AY123" i="37"/>
  <c r="AO123" i="37"/>
  <c r="AE114" i="37"/>
  <c r="S94" i="37"/>
  <c r="AU123" i="37"/>
  <c r="AA114" i="37"/>
  <c r="AN114" i="37" s="1"/>
  <c r="D116" i="37"/>
  <c r="W116" i="37"/>
  <c r="AA16" i="37"/>
  <c r="AA99" i="37"/>
  <c r="AN99" i="37" s="1"/>
  <c r="R119" i="37"/>
  <c r="R128" i="37" s="1"/>
  <c r="W119" i="37"/>
  <c r="W128" i="37" s="1"/>
  <c r="P119" i="37"/>
  <c r="P128" i="37" s="1"/>
  <c r="T94" i="37"/>
  <c r="T119" i="37"/>
  <c r="T128" i="37" s="1"/>
  <c r="AA121" i="37"/>
  <c r="AN121" i="37" s="1"/>
  <c r="O119" i="37"/>
  <c r="O128" i="37" s="1"/>
  <c r="V69" i="37"/>
  <c r="AB114" i="37"/>
  <c r="R82" i="37"/>
  <c r="R84" i="37" s="1"/>
  <c r="Y82" i="37"/>
  <c r="Y84" i="37" s="1"/>
  <c r="P82" i="37"/>
  <c r="P84" i="37" s="1"/>
  <c r="X82" i="37"/>
  <c r="X84" i="37" s="1"/>
  <c r="M84" i="37"/>
  <c r="X119" i="37"/>
  <c r="X128" i="37" s="1"/>
  <c r="C58" i="37"/>
  <c r="T82" i="37"/>
  <c r="T84" i="37" s="1"/>
  <c r="U119" i="37"/>
  <c r="U128" i="37" s="1"/>
  <c r="N82" i="37"/>
  <c r="N84" i="37" s="1"/>
  <c r="AG114" i="37"/>
  <c r="N16" i="37"/>
  <c r="AA56" i="37"/>
  <c r="S119" i="37"/>
  <c r="S128" i="37" s="1"/>
  <c r="AL120" i="37"/>
  <c r="AI120" i="37"/>
  <c r="AC120" i="37"/>
  <c r="AB120" i="37"/>
  <c r="AF120" i="37"/>
  <c r="AE120" i="37"/>
  <c r="AD120" i="37"/>
  <c r="AK120" i="37"/>
  <c r="AJ120" i="37"/>
  <c r="AM120" i="37"/>
  <c r="AD106" i="37"/>
  <c r="AC106" i="37"/>
  <c r="AB106" i="37"/>
  <c r="AJ106" i="37"/>
  <c r="AI106" i="37"/>
  <c r="AE106" i="37"/>
  <c r="AH106" i="37"/>
  <c r="AM106" i="37"/>
  <c r="AL106" i="37"/>
  <c r="AK106" i="37"/>
  <c r="AG106" i="37"/>
  <c r="AF106" i="37"/>
  <c r="U82" i="37"/>
  <c r="U84" i="37" s="1"/>
  <c r="O105" i="37"/>
  <c r="M109" i="37"/>
  <c r="T105" i="37"/>
  <c r="T109" i="37" s="1"/>
  <c r="Z105" i="37"/>
  <c r="S105" i="37"/>
  <c r="S109" i="37" s="1"/>
  <c r="Y105" i="37"/>
  <c r="Y109" i="37" s="1"/>
  <c r="Q105" i="37"/>
  <c r="X105" i="37"/>
  <c r="U105" i="37"/>
  <c r="W105" i="37"/>
  <c r="W109" i="37" s="1"/>
  <c r="R105" i="37"/>
  <c r="R109" i="37" s="1"/>
  <c r="V105" i="37"/>
  <c r="P105" i="37"/>
  <c r="AI125" i="37"/>
  <c r="AM125" i="37"/>
  <c r="AJ125" i="37"/>
  <c r="AL125" i="37"/>
  <c r="AK125" i="37"/>
  <c r="AE125" i="37"/>
  <c r="AC125" i="37"/>
  <c r="AG125" i="37"/>
  <c r="AH125" i="37"/>
  <c r="AF125" i="37"/>
  <c r="AB125" i="37"/>
  <c r="AD125" i="37"/>
  <c r="AB62" i="37"/>
  <c r="AM62" i="37"/>
  <c r="AL62" i="37"/>
  <c r="AK62" i="37"/>
  <c r="AI62" i="37"/>
  <c r="AH62" i="37"/>
  <c r="AG62" i="37"/>
  <c r="AF62" i="37"/>
  <c r="AJ62" i="37"/>
  <c r="AD62" i="37"/>
  <c r="AE62" i="37"/>
  <c r="AC62" i="37"/>
  <c r="C109" i="37"/>
  <c r="AD92" i="37"/>
  <c r="AE92" i="37"/>
  <c r="AC92" i="37"/>
  <c r="AL92" i="37"/>
  <c r="AB92" i="37"/>
  <c r="AI92" i="37"/>
  <c r="AH92" i="37"/>
  <c r="AJ92" i="37"/>
  <c r="AG92" i="37"/>
  <c r="AM92" i="37"/>
  <c r="AF92" i="37"/>
  <c r="AK92" i="37"/>
  <c r="AA72" i="37"/>
  <c r="AA90" i="37"/>
  <c r="AN90" i="37" s="1"/>
  <c r="P94" i="37"/>
  <c r="AT113" i="37"/>
  <c r="AP113" i="37"/>
  <c r="AO113" i="37"/>
  <c r="AZ113" i="37"/>
  <c r="AY113" i="37"/>
  <c r="AX113" i="37"/>
  <c r="AW113" i="37"/>
  <c r="AS113" i="37"/>
  <c r="AR113" i="37"/>
  <c r="AQ113" i="37"/>
  <c r="AU113" i="37"/>
  <c r="AV113" i="37"/>
  <c r="AN21" i="37"/>
  <c r="AL104" i="37"/>
  <c r="AH104" i="37"/>
  <c r="AG104" i="37"/>
  <c r="AF104" i="37"/>
  <c r="AC104" i="37"/>
  <c r="AK104" i="37"/>
  <c r="AI104" i="37"/>
  <c r="AJ104" i="37"/>
  <c r="AE104" i="37"/>
  <c r="AB104" i="37"/>
  <c r="AM104" i="37"/>
  <c r="AD104" i="37"/>
  <c r="AL91" i="37"/>
  <c r="AK91" i="37"/>
  <c r="AJ91" i="37"/>
  <c r="AF91" i="37"/>
  <c r="AD91" i="37"/>
  <c r="AM91" i="37"/>
  <c r="AI91" i="37"/>
  <c r="AH91" i="37"/>
  <c r="AE91" i="37"/>
  <c r="AB91" i="37"/>
  <c r="AG91" i="37"/>
  <c r="AC91" i="37"/>
  <c r="N69" i="37"/>
  <c r="AA104" i="37"/>
  <c r="AA91" i="37"/>
  <c r="AN91" i="37" s="1"/>
  <c r="F58" i="37"/>
  <c r="AA44" i="37"/>
  <c r="AA126" i="37"/>
  <c r="AN126" i="37" s="1"/>
  <c r="AA124" i="37"/>
  <c r="AN124" i="37" s="1"/>
  <c r="AB126" i="37"/>
  <c r="AM126" i="37"/>
  <c r="AJ126" i="37"/>
  <c r="AE126" i="37"/>
  <c r="AI126" i="37"/>
  <c r="AH126" i="37"/>
  <c r="AD126" i="37"/>
  <c r="AL126" i="37"/>
  <c r="AK126" i="37"/>
  <c r="AG126" i="37"/>
  <c r="AF126" i="37"/>
  <c r="AC126" i="37"/>
  <c r="AB44" i="37"/>
  <c r="AA66" i="37"/>
  <c r="AN66" i="37" s="1"/>
  <c r="AL66" i="37"/>
  <c r="AK66" i="37"/>
  <c r="AI66" i="37"/>
  <c r="AH66" i="37"/>
  <c r="AD66" i="37"/>
  <c r="AJ66" i="37"/>
  <c r="AB66" i="37"/>
  <c r="AC66" i="37"/>
  <c r="AG66" i="37"/>
  <c r="AE66" i="37"/>
  <c r="AM66" i="37"/>
  <c r="AF66" i="37"/>
  <c r="AE90" i="37"/>
  <c r="AD90" i="37"/>
  <c r="AL90" i="37"/>
  <c r="AK90" i="37"/>
  <c r="AI90" i="37"/>
  <c r="AM90" i="37"/>
  <c r="AJ90" i="37"/>
  <c r="AH90" i="37"/>
  <c r="Z94" i="37"/>
  <c r="AG90" i="37"/>
  <c r="AF90" i="37"/>
  <c r="AB90" i="37"/>
  <c r="AC90" i="37"/>
  <c r="AO98" i="37"/>
  <c r="AY98" i="37"/>
  <c r="AW98" i="37"/>
  <c r="AZ98" i="37"/>
  <c r="AU98" i="37"/>
  <c r="AQ98" i="37"/>
  <c r="AP98" i="37"/>
  <c r="AV98" i="37"/>
  <c r="AT98" i="37"/>
  <c r="AS98" i="37"/>
  <c r="AR98" i="37"/>
  <c r="AX98" i="37"/>
  <c r="Z69" i="37"/>
  <c r="AD24" i="37"/>
  <c r="AN19" i="37"/>
  <c r="AL24" i="37"/>
  <c r="AH24" i="37"/>
  <c r="AH112" i="37" s="1"/>
  <c r="AA20" i="37"/>
  <c r="AA24" i="37" s="1"/>
  <c r="N20" i="37"/>
  <c r="N24" i="37" s="1"/>
  <c r="AK24" i="37"/>
  <c r="N64" i="7"/>
  <c r="AA94" i="7"/>
  <c r="AB94" i="7" s="1"/>
  <c r="AC94" i="7" s="1"/>
  <c r="AD94" i="7" s="1"/>
  <c r="V89" i="7"/>
  <c r="AA13" i="7"/>
  <c r="N104" i="7"/>
  <c r="S96" i="7"/>
  <c r="AA67" i="7"/>
  <c r="AB67" i="7" s="1"/>
  <c r="N89" i="7"/>
  <c r="R89" i="7"/>
  <c r="S89" i="7"/>
  <c r="AA86" i="7"/>
  <c r="AB86" i="7" s="1"/>
  <c r="AC86" i="7" s="1"/>
  <c r="AD86" i="7" s="1"/>
  <c r="AA110" i="7"/>
  <c r="AB110" i="7" s="1"/>
  <c r="AC110" i="7" s="1"/>
  <c r="AD110" i="7" s="1"/>
  <c r="AA38" i="7"/>
  <c r="AB38" i="7" s="1"/>
  <c r="AC38" i="7" s="1"/>
  <c r="AD38" i="7" s="1"/>
  <c r="Y89" i="7"/>
  <c r="T89" i="7"/>
  <c r="AA39" i="7"/>
  <c r="AB39" i="7" s="1"/>
  <c r="AC39" i="7" s="1"/>
  <c r="AD39" i="7" s="1"/>
  <c r="AA108" i="7"/>
  <c r="AB108" i="7" s="1"/>
  <c r="AC108" i="7" s="1"/>
  <c r="AD108" i="7" s="1"/>
  <c r="AA87" i="7"/>
  <c r="AA101" i="7"/>
  <c r="O89" i="7"/>
  <c r="AA93" i="7"/>
  <c r="AA116" i="7"/>
  <c r="AB116" i="7" s="1"/>
  <c r="AC116" i="7" s="1"/>
  <c r="AD116" i="7" s="1"/>
  <c r="AD128" i="7"/>
  <c r="T26" i="21" s="1"/>
  <c r="S26" i="21"/>
  <c r="AB72" i="37"/>
  <c r="B58" i="37"/>
  <c r="N53" i="37"/>
  <c r="M58" i="37"/>
  <c r="AC24" i="37"/>
  <c r="AE24" i="37"/>
  <c r="AN22" i="37"/>
  <c r="AM24" i="37"/>
  <c r="AM112" i="37" s="1"/>
  <c r="AI24" i="37"/>
  <c r="AI112" i="37" s="1"/>
  <c r="AF24" i="37"/>
  <c r="AG24" i="37"/>
  <c r="AG112" i="37" s="1"/>
  <c r="AJ24" i="37"/>
  <c r="AJ112" i="37" s="1"/>
  <c r="AN20" i="37"/>
  <c r="AB24" i="37"/>
  <c r="AN18" i="37"/>
  <c r="AD13" i="7"/>
  <c r="AC13" i="7"/>
  <c r="N13" i="7"/>
  <c r="X109" i="37" l="1"/>
  <c r="AE107" i="37"/>
  <c r="AD107" i="37"/>
  <c r="AH107" i="37"/>
  <c r="AC107" i="37"/>
  <c r="AL107" i="37"/>
  <c r="AG107" i="37"/>
  <c r="AB107" i="37"/>
  <c r="U109" i="37"/>
  <c r="AK107" i="37"/>
  <c r="AM107" i="37"/>
  <c r="AR107" i="37" s="1"/>
  <c r="AF107" i="37"/>
  <c r="AI107" i="37"/>
  <c r="Q109" i="37"/>
  <c r="P109" i="37"/>
  <c r="AA107" i="37"/>
  <c r="AN107" i="37" s="1"/>
  <c r="BA43" i="37"/>
  <c r="BB43" i="37" s="1"/>
  <c r="S135" i="37"/>
  <c r="S9" i="42"/>
  <c r="L135" i="37"/>
  <c r="L9" i="42"/>
  <c r="K135" i="37"/>
  <c r="K9" i="42"/>
  <c r="R135" i="37"/>
  <c r="R9" i="42"/>
  <c r="X135" i="37"/>
  <c r="X9" i="42"/>
  <c r="U135" i="37"/>
  <c r="U9" i="42"/>
  <c r="I135" i="37"/>
  <c r="I9" i="42"/>
  <c r="O135" i="37"/>
  <c r="O9" i="42"/>
  <c r="AX44" i="37"/>
  <c r="AY44" i="37"/>
  <c r="AZ44" i="37"/>
  <c r="AP44" i="37"/>
  <c r="AQ44" i="37"/>
  <c r="AR44" i="37"/>
  <c r="AS44" i="37"/>
  <c r="AU44" i="37"/>
  <c r="AT44" i="37"/>
  <c r="AV44" i="37"/>
  <c r="AW44" i="37"/>
  <c r="O109" i="37"/>
  <c r="E135" i="37"/>
  <c r="E9" i="42"/>
  <c r="M135" i="37"/>
  <c r="M9" i="42"/>
  <c r="B135" i="37"/>
  <c r="B9" i="42"/>
  <c r="P135" i="37"/>
  <c r="P9" i="42"/>
  <c r="J135" i="37"/>
  <c r="J9" i="42"/>
  <c r="AS42" i="37"/>
  <c r="AT42" i="37"/>
  <c r="AU42" i="37"/>
  <c r="AV42" i="37"/>
  <c r="AW42" i="37"/>
  <c r="AP42" i="37"/>
  <c r="AX42" i="37"/>
  <c r="AY42" i="37"/>
  <c r="AZ42" i="37"/>
  <c r="AQ42" i="37"/>
  <c r="AR42" i="37"/>
  <c r="V109" i="37"/>
  <c r="D49" i="7"/>
  <c r="J49" i="7"/>
  <c r="J47" i="7"/>
  <c r="K49" i="7"/>
  <c r="K47" i="7"/>
  <c r="K53" i="7" s="1"/>
  <c r="F49" i="7"/>
  <c r="E49" i="7"/>
  <c r="X44" i="7"/>
  <c r="Y44" i="7"/>
  <c r="Z44" i="7"/>
  <c r="M49" i="7"/>
  <c r="O44" i="7"/>
  <c r="P44" i="7"/>
  <c r="W44" i="7"/>
  <c r="Q44" i="7"/>
  <c r="V44" i="7"/>
  <c r="R44" i="7"/>
  <c r="S44" i="7"/>
  <c r="T44" i="7"/>
  <c r="U44" i="7"/>
  <c r="G47" i="7"/>
  <c r="H49" i="7"/>
  <c r="H47" i="7"/>
  <c r="I49" i="7"/>
  <c r="C47" i="7"/>
  <c r="C79" i="37"/>
  <c r="M79" i="37"/>
  <c r="G79" i="37"/>
  <c r="L79" i="37"/>
  <c r="F79" i="37"/>
  <c r="D79" i="37"/>
  <c r="H79" i="37"/>
  <c r="E79" i="37"/>
  <c r="J79" i="37"/>
  <c r="B79" i="37"/>
  <c r="AU61" i="37"/>
  <c r="AW61" i="37"/>
  <c r="AV61" i="37"/>
  <c r="AX61" i="37"/>
  <c r="AR61" i="37"/>
  <c r="AP61" i="37"/>
  <c r="AZ61" i="37"/>
  <c r="AQ61" i="37"/>
  <c r="AT61" i="37"/>
  <c r="AO61" i="37"/>
  <c r="AY61" i="37"/>
  <c r="AQ63" i="37"/>
  <c r="AV63" i="37"/>
  <c r="AS63" i="37"/>
  <c r="I46" i="37"/>
  <c r="G46" i="37"/>
  <c r="H46" i="37"/>
  <c r="AT63" i="37"/>
  <c r="BA19" i="37"/>
  <c r="BB19" i="37" s="1"/>
  <c r="AU63" i="37"/>
  <c r="AY63" i="37"/>
  <c r="AX63" i="37"/>
  <c r="AZ63" i="37"/>
  <c r="AW63" i="37"/>
  <c r="AO63" i="37"/>
  <c r="AP63" i="37"/>
  <c r="BA18" i="37"/>
  <c r="BB18" i="37" s="1"/>
  <c r="AK112" i="37"/>
  <c r="AK116" i="37" s="1"/>
  <c r="AD112" i="37"/>
  <c r="AD116" i="37" s="1"/>
  <c r="AL112" i="37"/>
  <c r="AL116" i="37" s="1"/>
  <c r="AF112" i="37"/>
  <c r="AF116" i="37" s="1"/>
  <c r="AB112" i="37"/>
  <c r="AC112" i="37"/>
  <c r="AC116" i="37" s="1"/>
  <c r="AE112" i="37"/>
  <c r="AE116" i="37" s="1"/>
  <c r="P116" i="37"/>
  <c r="N31" i="37"/>
  <c r="AN37" i="37"/>
  <c r="AA33" i="7"/>
  <c r="AB33" i="7" s="1"/>
  <c r="AC33" i="7" s="1"/>
  <c r="AD33" i="7" s="1"/>
  <c r="C46" i="37"/>
  <c r="F46" i="37"/>
  <c r="N39" i="37"/>
  <c r="D46" i="37"/>
  <c r="N36" i="37"/>
  <c r="N35" i="37"/>
  <c r="B46" i="37"/>
  <c r="X74" i="7"/>
  <c r="Y74" i="7"/>
  <c r="U74" i="7"/>
  <c r="P74" i="7"/>
  <c r="T74" i="7"/>
  <c r="O74" i="7"/>
  <c r="Q74" i="7"/>
  <c r="V74" i="7"/>
  <c r="S74" i="7"/>
  <c r="N48" i="7"/>
  <c r="AA46" i="7"/>
  <c r="W74" i="7"/>
  <c r="R74" i="7"/>
  <c r="D41" i="7"/>
  <c r="L74" i="7"/>
  <c r="E74" i="7"/>
  <c r="J74" i="7"/>
  <c r="G74" i="7"/>
  <c r="C74" i="7"/>
  <c r="M74" i="7"/>
  <c r="D74" i="7"/>
  <c r="F74" i="7"/>
  <c r="H74" i="7"/>
  <c r="I74" i="7"/>
  <c r="K74" i="7"/>
  <c r="N46" i="7"/>
  <c r="AB77" i="7"/>
  <c r="AC77" i="7" s="1"/>
  <c r="AD77" i="7" s="1"/>
  <c r="AD79" i="7" s="1"/>
  <c r="AA64" i="7"/>
  <c r="R27" i="21"/>
  <c r="S58" i="37"/>
  <c r="L116" i="37"/>
  <c r="Z116" i="37"/>
  <c r="AR99" i="37"/>
  <c r="AR101" i="37" s="1"/>
  <c r="AU99" i="37"/>
  <c r="AU101" i="37" s="1"/>
  <c r="AZ99" i="37"/>
  <c r="AZ101" i="37" s="1"/>
  <c r="AO99" i="37"/>
  <c r="AO101" i="37" s="1"/>
  <c r="AW99" i="37"/>
  <c r="AW101" i="37" s="1"/>
  <c r="AY99" i="37"/>
  <c r="AY101" i="37" s="1"/>
  <c r="AX99" i="37"/>
  <c r="AX101" i="37" s="1"/>
  <c r="AE119" i="37"/>
  <c r="AE128" i="37" s="1"/>
  <c r="AT99" i="37"/>
  <c r="AT101" i="37" s="1"/>
  <c r="AL119" i="37"/>
  <c r="AL128" i="37" s="1"/>
  <c r="AP99" i="37"/>
  <c r="AP101" i="37" s="1"/>
  <c r="AR64" i="37"/>
  <c r="R116" i="37"/>
  <c r="X116" i="37"/>
  <c r="AP122" i="37"/>
  <c r="AS122" i="37"/>
  <c r="AW122" i="37"/>
  <c r="AX122" i="37"/>
  <c r="AZ122" i="37"/>
  <c r="N128" i="37"/>
  <c r="Q131" i="37"/>
  <c r="K116" i="37"/>
  <c r="AQ99" i="37"/>
  <c r="AQ101" i="37" s="1"/>
  <c r="S116" i="37"/>
  <c r="G131" i="37"/>
  <c r="Y131" i="37"/>
  <c r="AX88" i="37"/>
  <c r="T131" i="37"/>
  <c r="AQ122" i="37"/>
  <c r="AW88" i="37"/>
  <c r="AU64" i="37"/>
  <c r="AR122" i="37"/>
  <c r="AU122" i="37"/>
  <c r="AS121" i="37"/>
  <c r="AU88" i="37"/>
  <c r="AT122" i="37"/>
  <c r="AH94" i="37"/>
  <c r="AV122" i="37"/>
  <c r="AV121" i="37"/>
  <c r="AO122" i="37"/>
  <c r="AT121" i="37"/>
  <c r="AW64" i="37"/>
  <c r="F131" i="37"/>
  <c r="AD119" i="37"/>
  <c r="AD128" i="37" s="1"/>
  <c r="AS99" i="37"/>
  <c r="AS101" i="37" s="1"/>
  <c r="AU121" i="37"/>
  <c r="AP121" i="37"/>
  <c r="AF82" i="37"/>
  <c r="AF84" i="37" s="1"/>
  <c r="AZ121" i="37"/>
  <c r="AW124" i="37"/>
  <c r="W131" i="37"/>
  <c r="AB82" i="37"/>
  <c r="AB84" i="37" s="1"/>
  <c r="AQ121" i="37"/>
  <c r="AU124" i="37"/>
  <c r="AV124" i="37"/>
  <c r="AZ124" i="37"/>
  <c r="AT124" i="37"/>
  <c r="AQ124" i="37"/>
  <c r="AP124" i="37"/>
  <c r="AR124" i="37"/>
  <c r="AJ69" i="37"/>
  <c r="C131" i="37"/>
  <c r="AO124" i="37"/>
  <c r="AS124" i="37"/>
  <c r="P58" i="37"/>
  <c r="AX124" i="37"/>
  <c r="AK69" i="37"/>
  <c r="Q58" i="37"/>
  <c r="AR121" i="37"/>
  <c r="AO107" i="37"/>
  <c r="AP114" i="37"/>
  <c r="AX121" i="37"/>
  <c r="AY121" i="37"/>
  <c r="AZ64" i="37"/>
  <c r="AP64" i="37"/>
  <c r="AT64" i="37"/>
  <c r="AY64" i="37"/>
  <c r="AS64" i="37"/>
  <c r="AO64" i="37"/>
  <c r="AX64" i="37"/>
  <c r="AQ64" i="37"/>
  <c r="AI82" i="37"/>
  <c r="AI84" i="37" s="1"/>
  <c r="AK82" i="37"/>
  <c r="AK84" i="37" s="1"/>
  <c r="AK119" i="37"/>
  <c r="AK128" i="37" s="1"/>
  <c r="AY89" i="37"/>
  <c r="AP89" i="37"/>
  <c r="AX89" i="37"/>
  <c r="AR89" i="37"/>
  <c r="AU89" i="37"/>
  <c r="AW89" i="37"/>
  <c r="AQ89" i="37"/>
  <c r="AV89" i="37"/>
  <c r="AT89" i="37"/>
  <c r="AO89" i="37"/>
  <c r="AS89" i="37"/>
  <c r="AZ89" i="37"/>
  <c r="AK94" i="37"/>
  <c r="AH119" i="37"/>
  <c r="AH128" i="37" s="1"/>
  <c r="AJ119" i="37"/>
  <c r="AJ128" i="37" s="1"/>
  <c r="AM119" i="37"/>
  <c r="AZ119" i="37" s="1"/>
  <c r="Z128" i="37"/>
  <c r="AF119" i="37"/>
  <c r="AF128" i="37" s="1"/>
  <c r="AG119" i="37"/>
  <c r="AG128" i="37" s="1"/>
  <c r="AF69" i="37"/>
  <c r="AC119" i="37"/>
  <c r="AC128" i="37" s="1"/>
  <c r="AW121" i="37"/>
  <c r="AV88" i="37"/>
  <c r="AB119" i="37"/>
  <c r="AB128" i="37" s="1"/>
  <c r="AU114" i="37"/>
  <c r="AV99" i="37"/>
  <c r="AV101" i="37" s="1"/>
  <c r="AZ88" i="37"/>
  <c r="BA49" i="37"/>
  <c r="BB49" i="37" s="1"/>
  <c r="AT114" i="37"/>
  <c r="AA82" i="37"/>
  <c r="AA84" i="37" s="1"/>
  <c r="AO114" i="37"/>
  <c r="AM82" i="37"/>
  <c r="AT82" i="37" s="1"/>
  <c r="AT84" i="37" s="1"/>
  <c r="AY88" i="37"/>
  <c r="AS107" i="37"/>
  <c r="AZ114" i="37"/>
  <c r="AO88" i="37"/>
  <c r="AN56" i="37"/>
  <c r="BA97" i="37"/>
  <c r="BB97" i="37" s="1"/>
  <c r="AQ88" i="37"/>
  <c r="U116" i="37"/>
  <c r="AC82" i="37"/>
  <c r="AC84" i="37" s="1"/>
  <c r="AR88" i="37"/>
  <c r="I116" i="37"/>
  <c r="AJ82" i="37"/>
  <c r="AJ84" i="37" s="1"/>
  <c r="BA87" i="37"/>
  <c r="BB87" i="37" s="1"/>
  <c r="AD82" i="37"/>
  <c r="AD84" i="37" s="1"/>
  <c r="AE82" i="37"/>
  <c r="AE84" i="37" s="1"/>
  <c r="AQ107" i="37"/>
  <c r="AX114" i="37"/>
  <c r="AG82" i="37"/>
  <c r="AG84" i="37" s="1"/>
  <c r="AT107" i="37"/>
  <c r="Z84" i="37"/>
  <c r="AS88" i="37"/>
  <c r="AW107" i="37"/>
  <c r="J116" i="37"/>
  <c r="AL82" i="37"/>
  <c r="AL84" i="37" s="1"/>
  <c r="AM69" i="37"/>
  <c r="AT88" i="37"/>
  <c r="AN101" i="37"/>
  <c r="AC69" i="37"/>
  <c r="AX107" i="37"/>
  <c r="AR114" i="37"/>
  <c r="R58" i="37"/>
  <c r="AD69" i="37"/>
  <c r="AH69" i="37"/>
  <c r="AA94" i="37"/>
  <c r="AL94" i="37"/>
  <c r="AI69" i="37"/>
  <c r="AV114" i="37"/>
  <c r="AD94" i="37"/>
  <c r="AO56" i="37"/>
  <c r="N58" i="37"/>
  <c r="E116" i="37"/>
  <c r="AE94" i="37"/>
  <c r="AS114" i="37"/>
  <c r="BA123" i="37"/>
  <c r="BB123" i="37" s="1"/>
  <c r="AQ114" i="37"/>
  <c r="AA101" i="37"/>
  <c r="AF94" i="37"/>
  <c r="AW114" i="37"/>
  <c r="D131" i="37"/>
  <c r="M116" i="37"/>
  <c r="B116" i="37"/>
  <c r="O116" i="37"/>
  <c r="AG69" i="37"/>
  <c r="AE105" i="37"/>
  <c r="AL105" i="37"/>
  <c r="AL109" i="37" s="1"/>
  <c r="AK105" i="37"/>
  <c r="AH105" i="37"/>
  <c r="AH109" i="37" s="1"/>
  <c r="AI105" i="37"/>
  <c r="AF105" i="37"/>
  <c r="AJ105" i="37"/>
  <c r="AJ109" i="37" s="1"/>
  <c r="AG105" i="37"/>
  <c r="AG109" i="37" s="1"/>
  <c r="AC105" i="37"/>
  <c r="AC109" i="37" s="1"/>
  <c r="AB105" i="37"/>
  <c r="AB109" i="37" s="1"/>
  <c r="AD105" i="37"/>
  <c r="AD109" i="37" s="1"/>
  <c r="AM105" i="37"/>
  <c r="AE69" i="37"/>
  <c r="AN54" i="37"/>
  <c r="AA119" i="37"/>
  <c r="AN119" i="37" s="1"/>
  <c r="AN128" i="37" s="1"/>
  <c r="AU92" i="37"/>
  <c r="AV92" i="37"/>
  <c r="AO92" i="37"/>
  <c r="AW92" i="37"/>
  <c r="AZ92" i="37"/>
  <c r="AQ92" i="37"/>
  <c r="AX92" i="37"/>
  <c r="AS92" i="37"/>
  <c r="AT92" i="37"/>
  <c r="AR92" i="37"/>
  <c r="AY92" i="37"/>
  <c r="AP92" i="37"/>
  <c r="AJ94" i="37"/>
  <c r="AT125" i="37"/>
  <c r="AY125" i="37"/>
  <c r="AS125" i="37"/>
  <c r="AW125" i="37"/>
  <c r="AQ125" i="37"/>
  <c r="AR125" i="37"/>
  <c r="AU125" i="37"/>
  <c r="AP125" i="37"/>
  <c r="AV125" i="37"/>
  <c r="AO125" i="37"/>
  <c r="AX125" i="37"/>
  <c r="AZ125" i="37"/>
  <c r="AN42" i="37"/>
  <c r="AQ106" i="37"/>
  <c r="AW106" i="37"/>
  <c r="AS106" i="37"/>
  <c r="AX106" i="37"/>
  <c r="AP106" i="37"/>
  <c r="AZ106" i="37"/>
  <c r="AO106" i="37"/>
  <c r="AV106" i="37"/>
  <c r="AU106" i="37"/>
  <c r="AY106" i="37"/>
  <c r="AT106" i="37"/>
  <c r="AR106" i="37"/>
  <c r="AN72" i="37"/>
  <c r="AB69" i="37"/>
  <c r="AI94" i="37"/>
  <c r="Z109" i="37"/>
  <c r="AA105" i="37"/>
  <c r="AN105" i="37" s="1"/>
  <c r="BA51" i="37"/>
  <c r="BB51" i="37" s="1"/>
  <c r="AR62" i="37"/>
  <c r="AP62" i="37"/>
  <c r="AO62" i="37"/>
  <c r="AQ62" i="37"/>
  <c r="AZ62" i="37"/>
  <c r="AY62" i="37"/>
  <c r="AX62" i="37"/>
  <c r="AW62" i="37"/>
  <c r="AU62" i="37"/>
  <c r="AV62" i="37"/>
  <c r="AT62" i="37"/>
  <c r="AS62" i="37"/>
  <c r="AN69" i="37"/>
  <c r="AL69" i="37"/>
  <c r="AN94" i="37"/>
  <c r="AY120" i="37"/>
  <c r="AQ120" i="37"/>
  <c r="AR120" i="37"/>
  <c r="AX120" i="37"/>
  <c r="AS120" i="37"/>
  <c r="AO120" i="37"/>
  <c r="AW120" i="37"/>
  <c r="AP120" i="37"/>
  <c r="AT120" i="37"/>
  <c r="AV120" i="37"/>
  <c r="AZ120" i="37"/>
  <c r="AU120" i="37"/>
  <c r="AA69" i="37"/>
  <c r="AO42" i="37"/>
  <c r="AM94" i="37"/>
  <c r="AQ90" i="37"/>
  <c r="AO90" i="37"/>
  <c r="AX90" i="37"/>
  <c r="AW90" i="37"/>
  <c r="AU90" i="37"/>
  <c r="AV90" i="37"/>
  <c r="AT90" i="37"/>
  <c r="AS90" i="37"/>
  <c r="AR90" i="37"/>
  <c r="AP90" i="37"/>
  <c r="AZ90" i="37"/>
  <c r="AY90" i="37"/>
  <c r="AO44" i="37"/>
  <c r="AO126" i="37"/>
  <c r="AS126" i="37"/>
  <c r="AY126" i="37"/>
  <c r="AP126" i="37"/>
  <c r="AR126" i="37"/>
  <c r="AT126" i="37"/>
  <c r="AQ126" i="37"/>
  <c r="AZ126" i="37"/>
  <c r="AX126" i="37"/>
  <c r="AV126" i="37"/>
  <c r="AU126" i="37"/>
  <c r="AW126" i="37"/>
  <c r="AN52" i="37"/>
  <c r="V116" i="37"/>
  <c r="V131" i="37"/>
  <c r="AX91" i="37"/>
  <c r="AW91" i="37"/>
  <c r="AV91" i="37"/>
  <c r="AS91" i="37"/>
  <c r="AP91" i="37"/>
  <c r="AU91" i="37"/>
  <c r="AT91" i="37"/>
  <c r="AQ91" i="37"/>
  <c r="AO91" i="37"/>
  <c r="AZ91" i="37"/>
  <c r="AY91" i="37"/>
  <c r="AR91" i="37"/>
  <c r="AN44" i="37"/>
  <c r="AI128" i="37"/>
  <c r="H131" i="37"/>
  <c r="BA98" i="37"/>
  <c r="BB98" i="37" s="1"/>
  <c r="AC94" i="37"/>
  <c r="AB94" i="37"/>
  <c r="AN104" i="37"/>
  <c r="BA113" i="37"/>
  <c r="BB113" i="37" s="1"/>
  <c r="AG94" i="37"/>
  <c r="AS66" i="37"/>
  <c r="AZ66" i="37"/>
  <c r="AY66" i="37"/>
  <c r="AW66" i="37"/>
  <c r="AV66" i="37"/>
  <c r="AU66" i="37"/>
  <c r="AT66" i="37"/>
  <c r="AX66" i="37"/>
  <c r="AQ66" i="37"/>
  <c r="AP66" i="37"/>
  <c r="AR66" i="37"/>
  <c r="AO66" i="37"/>
  <c r="AP104" i="37"/>
  <c r="AV104" i="37"/>
  <c r="AO104" i="37"/>
  <c r="AZ104" i="37"/>
  <c r="AY104" i="37"/>
  <c r="AX104" i="37"/>
  <c r="AT104" i="37"/>
  <c r="AS104" i="37"/>
  <c r="AR104" i="37"/>
  <c r="AW104" i="37"/>
  <c r="AU104" i="37"/>
  <c r="AQ104" i="37"/>
  <c r="AZ24" i="37"/>
  <c r="AZ112" i="37" s="1"/>
  <c r="BA21" i="37"/>
  <c r="BB21" i="37" s="1"/>
  <c r="AP24" i="37"/>
  <c r="AP112" i="37" s="1"/>
  <c r="AO24" i="37"/>
  <c r="AO112" i="37" s="1"/>
  <c r="AW24" i="37"/>
  <c r="AW112" i="37" s="1"/>
  <c r="AR24" i="37"/>
  <c r="AR112" i="37" s="1"/>
  <c r="AC67" i="7"/>
  <c r="AD92" i="7"/>
  <c r="AB93" i="7"/>
  <c r="AA96" i="7"/>
  <c r="AD99" i="7"/>
  <c r="AB64" i="7"/>
  <c r="AC56" i="7"/>
  <c r="AB101" i="7"/>
  <c r="AA104" i="7"/>
  <c r="AD82" i="7"/>
  <c r="AB87" i="7"/>
  <c r="AA89" i="7"/>
  <c r="AO72" i="37"/>
  <c r="AI58" i="37"/>
  <c r="AH58" i="37"/>
  <c r="AG58" i="37"/>
  <c r="AJ58" i="37"/>
  <c r="AF58" i="37"/>
  <c r="AE58" i="37"/>
  <c r="AD58" i="37"/>
  <c r="AL58" i="37"/>
  <c r="AK58" i="37"/>
  <c r="AC58" i="37"/>
  <c r="AA53" i="37"/>
  <c r="O58" i="37"/>
  <c r="S27" i="21"/>
  <c r="AD129" i="7"/>
  <c r="T27" i="21" s="1"/>
  <c r="AX24" i="37"/>
  <c r="AX112" i="37" s="1"/>
  <c r="AY24" i="37"/>
  <c r="AY112" i="37" s="1"/>
  <c r="AI116" i="37"/>
  <c r="AT24" i="37"/>
  <c r="AV24" i="37"/>
  <c r="AV112" i="37" s="1"/>
  <c r="BA22" i="37"/>
  <c r="BB22" i="37" s="1"/>
  <c r="AS24" i="37"/>
  <c r="AS112" i="37" s="1"/>
  <c r="AU24" i="37"/>
  <c r="AU112" i="37" s="1"/>
  <c r="AQ24" i="37"/>
  <c r="AQ112" i="37" s="1"/>
  <c r="BA20" i="37"/>
  <c r="BB20" i="37" s="1"/>
  <c r="AN24" i="37"/>
  <c r="Q116" i="37"/>
  <c r="AV107" i="37" l="1"/>
  <c r="AE109" i="37"/>
  <c r="AI109" i="37"/>
  <c r="AP107" i="37"/>
  <c r="AF109" i="37"/>
  <c r="AU107" i="37"/>
  <c r="AY107" i="37"/>
  <c r="AZ107" i="37"/>
  <c r="AK109" i="37"/>
  <c r="T135" i="37"/>
  <c r="T9" i="42"/>
  <c r="F135" i="37"/>
  <c r="F137" i="37" s="1"/>
  <c r="F139" i="37" s="1"/>
  <c r="F140" i="37" s="1"/>
  <c r="F9" i="42"/>
  <c r="D135" i="37"/>
  <c r="D137" i="37" s="1"/>
  <c r="D139" i="37" s="1"/>
  <c r="D140" i="37" s="1"/>
  <c r="D9" i="42"/>
  <c r="Y135" i="37"/>
  <c r="Y9" i="42"/>
  <c r="G135" i="37"/>
  <c r="G137" i="37" s="1"/>
  <c r="G139" i="37" s="1"/>
  <c r="G140" i="37" s="1"/>
  <c r="G9" i="42"/>
  <c r="C135" i="37"/>
  <c r="C9" i="42"/>
  <c r="Q135" i="37"/>
  <c r="Q9" i="42"/>
  <c r="V135" i="37"/>
  <c r="V9" i="42"/>
  <c r="W135" i="37"/>
  <c r="W9" i="42"/>
  <c r="H135" i="37"/>
  <c r="H137" i="37" s="1"/>
  <c r="H139" i="37" s="1"/>
  <c r="H140" i="37" s="1"/>
  <c r="H9" i="42"/>
  <c r="I47" i="7"/>
  <c r="I53" i="7" s="1"/>
  <c r="G49" i="7"/>
  <c r="G53" i="7" s="1"/>
  <c r="M47" i="7"/>
  <c r="M53" i="7" s="1"/>
  <c r="C49" i="7"/>
  <c r="C53" i="7" s="1"/>
  <c r="BB50" i="37"/>
  <c r="BB54" i="37" s="1"/>
  <c r="N44" i="7"/>
  <c r="L47" i="7"/>
  <c r="L49" i="7"/>
  <c r="U49" i="7"/>
  <c r="U47" i="7"/>
  <c r="E47" i="7"/>
  <c r="E53" i="7" s="1"/>
  <c r="T49" i="7"/>
  <c r="S49" i="7"/>
  <c r="S47" i="7"/>
  <c r="F47" i="7"/>
  <c r="F53" i="7" s="1"/>
  <c r="R49" i="7"/>
  <c r="R47" i="7"/>
  <c r="V47" i="7"/>
  <c r="V49" i="7"/>
  <c r="Q49" i="7"/>
  <c r="Q47" i="7"/>
  <c r="W47" i="7"/>
  <c r="W49" i="7"/>
  <c r="P47" i="7"/>
  <c r="O49" i="7"/>
  <c r="X47" i="7"/>
  <c r="Z47" i="7"/>
  <c r="D47" i="7"/>
  <c r="D53" i="7" s="1"/>
  <c r="Y49" i="7"/>
  <c r="AB46" i="7"/>
  <c r="AC46" i="7" s="1"/>
  <c r="AD46" i="7" s="1"/>
  <c r="L46" i="37"/>
  <c r="L137" i="37" s="1"/>
  <c r="L139" i="37" s="1"/>
  <c r="L140" i="37" s="1"/>
  <c r="N79" i="37"/>
  <c r="I137" i="37"/>
  <c r="I139" i="37" s="1"/>
  <c r="I140" i="37" s="1"/>
  <c r="BA61" i="37"/>
  <c r="BB61" i="37" s="1"/>
  <c r="BA63" i="37"/>
  <c r="BB63" i="37" s="1"/>
  <c r="E46" i="37"/>
  <c r="E137" i="37" s="1"/>
  <c r="E139" i="37" s="1"/>
  <c r="E140" i="37" s="1"/>
  <c r="BA37" i="37"/>
  <c r="BB37" i="37" s="1"/>
  <c r="AT112" i="37"/>
  <c r="AT116" i="37" s="1"/>
  <c r="AA36" i="37"/>
  <c r="AA39" i="37"/>
  <c r="M46" i="37"/>
  <c r="M137" i="37" s="1"/>
  <c r="M139" i="37" s="1"/>
  <c r="M140" i="37" s="1"/>
  <c r="J46" i="37"/>
  <c r="J137" i="37" s="1"/>
  <c r="J139" i="37" s="1"/>
  <c r="J140" i="37" s="1"/>
  <c r="K46" i="37"/>
  <c r="K137" i="37" s="1"/>
  <c r="K139" i="37" s="1"/>
  <c r="K140" i="37" s="1"/>
  <c r="T46" i="37"/>
  <c r="AA35" i="37"/>
  <c r="N40" i="37"/>
  <c r="N38" i="37"/>
  <c r="P79" i="37"/>
  <c r="Y79" i="37"/>
  <c r="V79" i="37"/>
  <c r="X79" i="37"/>
  <c r="W79" i="37"/>
  <c r="T79" i="37"/>
  <c r="U79" i="37"/>
  <c r="Q79" i="37"/>
  <c r="S79" i="37"/>
  <c r="R79" i="37"/>
  <c r="AA44" i="7"/>
  <c r="AB44" i="7" s="1"/>
  <c r="H53" i="7"/>
  <c r="AA35" i="7"/>
  <c r="AB35" i="7" s="1"/>
  <c r="AC35" i="7" s="1"/>
  <c r="AD35" i="7" s="1"/>
  <c r="I41" i="7"/>
  <c r="AA48" i="7"/>
  <c r="AB48" i="7" s="1"/>
  <c r="AC48" i="7" s="1"/>
  <c r="AD48" i="7" s="1"/>
  <c r="L41" i="7"/>
  <c r="C41" i="7"/>
  <c r="N35" i="7"/>
  <c r="N31" i="7"/>
  <c r="E41" i="7"/>
  <c r="J53" i="7"/>
  <c r="F41" i="7"/>
  <c r="H41" i="7"/>
  <c r="K41" i="7"/>
  <c r="B53" i="7"/>
  <c r="B74" i="7"/>
  <c r="N74" i="7"/>
  <c r="N45" i="7"/>
  <c r="B41" i="7"/>
  <c r="AC79" i="7"/>
  <c r="AB79" i="7"/>
  <c r="AQ82" i="37"/>
  <c r="AQ84" i="37" s="1"/>
  <c r="AR82" i="37"/>
  <c r="AR84" i="37" s="1"/>
  <c r="BA99" i="37"/>
  <c r="BB99" i="37" s="1"/>
  <c r="BB101" i="37" s="1"/>
  <c r="AV82" i="37"/>
  <c r="AV84" i="37" s="1"/>
  <c r="AW82" i="37"/>
  <c r="AW84" i="37" s="1"/>
  <c r="AM84" i="37"/>
  <c r="AY82" i="37"/>
  <c r="AY84" i="37" s="1"/>
  <c r="AZ82" i="37"/>
  <c r="AZ84" i="37" s="1"/>
  <c r="AO82" i="37"/>
  <c r="AO84" i="37" s="1"/>
  <c r="AS82" i="37"/>
  <c r="AS84" i="37" s="1"/>
  <c r="AP82" i="37"/>
  <c r="AP84" i="37" s="1"/>
  <c r="AU82" i="37"/>
  <c r="AU84" i="37" s="1"/>
  <c r="C137" i="37"/>
  <c r="C139" i="37" s="1"/>
  <c r="C140" i="37" s="1"/>
  <c r="AX82" i="37"/>
  <c r="AX84" i="37" s="1"/>
  <c r="AN82" i="37"/>
  <c r="AN84" i="37" s="1"/>
  <c r="AT119" i="37"/>
  <c r="AT128" i="37" s="1"/>
  <c r="BA122" i="37"/>
  <c r="BB122" i="37" s="1"/>
  <c r="AX69" i="37"/>
  <c r="BA121" i="37"/>
  <c r="BB121" i="37" s="1"/>
  <c r="U58" i="37"/>
  <c r="AV119" i="37"/>
  <c r="AV128" i="37" s="1"/>
  <c r="AU119" i="37"/>
  <c r="AU128" i="37" s="1"/>
  <c r="BA64" i="37"/>
  <c r="BB64" i="37" s="1"/>
  <c r="AY119" i="37"/>
  <c r="AY128" i="37" s="1"/>
  <c r="AQ119" i="37"/>
  <c r="AQ128" i="37" s="1"/>
  <c r="BA124" i="37"/>
  <c r="BB124" i="37" s="1"/>
  <c r="AP119" i="37"/>
  <c r="AP128" i="37" s="1"/>
  <c r="AY69" i="37"/>
  <c r="AM128" i="37"/>
  <c r="N131" i="37"/>
  <c r="N135" i="37" s="1"/>
  <c r="AX119" i="37"/>
  <c r="AX128" i="37" s="1"/>
  <c r="AR119" i="37"/>
  <c r="AR128" i="37" s="1"/>
  <c r="AW119" i="37"/>
  <c r="AW128" i="37" s="1"/>
  <c r="AO119" i="37"/>
  <c r="BA88" i="37"/>
  <c r="BB88" i="37" s="1"/>
  <c r="BA89" i="37"/>
  <c r="BB89" i="37" s="1"/>
  <c r="BA114" i="37"/>
  <c r="BB114" i="37" s="1"/>
  <c r="AS119" i="37"/>
  <c r="AS128" i="37" s="1"/>
  <c r="AV69" i="37"/>
  <c r="AP69" i="37"/>
  <c r="AY94" i="37"/>
  <c r="AW116" i="37"/>
  <c r="AA128" i="37"/>
  <c r="B137" i="37"/>
  <c r="B139" i="37" s="1"/>
  <c r="B140" i="37" s="1"/>
  <c r="N112" i="37"/>
  <c r="N116" i="37" s="1"/>
  <c r="AW69" i="37"/>
  <c r="AR69" i="37"/>
  <c r="AP94" i="37"/>
  <c r="AA112" i="37"/>
  <c r="AA116" i="37" s="1"/>
  <c r="AT69" i="37"/>
  <c r="BA56" i="37"/>
  <c r="BB56" i="37" s="1"/>
  <c r="AZ69" i="37"/>
  <c r="AQ69" i="37"/>
  <c r="AO69" i="37"/>
  <c r="BA52" i="37"/>
  <c r="BA125" i="37"/>
  <c r="BB125" i="37" s="1"/>
  <c r="AW105" i="37"/>
  <c r="AW109" i="37" s="1"/>
  <c r="AQ105" i="37"/>
  <c r="AQ109" i="37" s="1"/>
  <c r="AZ105" i="37"/>
  <c r="AZ109" i="37" s="1"/>
  <c r="AO105" i="37"/>
  <c r="AO109" i="37" s="1"/>
  <c r="AU105" i="37"/>
  <c r="AU109" i="37" s="1"/>
  <c r="AT105" i="37"/>
  <c r="AT109" i="37" s="1"/>
  <c r="AS105" i="37"/>
  <c r="AS109" i="37" s="1"/>
  <c r="AY105" i="37"/>
  <c r="AY109" i="37" s="1"/>
  <c r="AP105" i="37"/>
  <c r="AP109" i="37" s="1"/>
  <c r="AV105" i="37"/>
  <c r="AV109" i="37" s="1"/>
  <c r="AR105" i="37"/>
  <c r="AX105" i="37"/>
  <c r="AX109" i="37" s="1"/>
  <c r="BA42" i="37"/>
  <c r="BB42" i="37" s="1"/>
  <c r="BA106" i="37"/>
  <c r="BB106" i="37" s="1"/>
  <c r="BA120" i="37"/>
  <c r="BB120" i="37" s="1"/>
  <c r="AU69" i="37"/>
  <c r="BA92" i="37"/>
  <c r="BB92" i="37" s="1"/>
  <c r="AM109" i="37"/>
  <c r="BA126" i="37"/>
  <c r="BB126" i="37" s="1"/>
  <c r="BA62" i="37"/>
  <c r="BB62" i="37" s="1"/>
  <c r="AS69" i="37"/>
  <c r="AZ128" i="37"/>
  <c r="AA109" i="37"/>
  <c r="BA54" i="37"/>
  <c r="AN109" i="37"/>
  <c r="AS94" i="37"/>
  <c r="AZ94" i="37"/>
  <c r="BA91" i="37"/>
  <c r="BB91" i="37" s="1"/>
  <c r="AR94" i="37"/>
  <c r="AT94" i="37"/>
  <c r="BA104" i="37"/>
  <c r="AV94" i="37"/>
  <c r="AU94" i="37"/>
  <c r="AW94" i="37"/>
  <c r="BA44" i="37"/>
  <c r="BB44" i="37" s="1"/>
  <c r="AX94" i="37"/>
  <c r="BA66" i="37"/>
  <c r="BB66" i="37" s="1"/>
  <c r="T58" i="37"/>
  <c r="BA90" i="37"/>
  <c r="AO94" i="37"/>
  <c r="AQ94" i="37"/>
  <c r="AO116" i="37"/>
  <c r="BB24" i="37"/>
  <c r="BB112" i="37" s="1"/>
  <c r="AD56" i="7"/>
  <c r="AD64" i="7" s="1"/>
  <c r="AC64" i="7"/>
  <c r="AC87" i="7"/>
  <c r="AB89" i="7"/>
  <c r="AC101" i="7"/>
  <c r="AB104" i="7"/>
  <c r="AC93" i="7"/>
  <c r="AB96" i="7"/>
  <c r="AD67" i="7"/>
  <c r="BA72" i="37"/>
  <c r="AN39" i="37"/>
  <c r="AU58" i="37"/>
  <c r="AT58" i="37"/>
  <c r="AS58" i="37"/>
  <c r="AX58" i="37"/>
  <c r="AW58" i="37"/>
  <c r="AV58" i="37"/>
  <c r="AQ58" i="37"/>
  <c r="AR58" i="37"/>
  <c r="AP58" i="37"/>
  <c r="AM58" i="37"/>
  <c r="AZ58" i="37"/>
  <c r="AY58" i="37"/>
  <c r="AN53" i="37"/>
  <c r="AN58" i="37" s="1"/>
  <c r="AB58" i="37"/>
  <c r="AV116" i="37"/>
  <c r="BA24" i="37"/>
  <c r="AB116" i="37"/>
  <c r="BA107" i="37" l="1"/>
  <c r="BB107" i="37" s="1"/>
  <c r="BB52" i="37"/>
  <c r="N9" i="42"/>
  <c r="U53" i="7"/>
  <c r="Z49" i="7"/>
  <c r="X49" i="7"/>
  <c r="Z53" i="7"/>
  <c r="T47" i="7"/>
  <c r="T53" i="7" s="1"/>
  <c r="P49" i="7"/>
  <c r="P53" i="7" s="1"/>
  <c r="O47" i="7"/>
  <c r="O53" i="7" s="1"/>
  <c r="Y47" i="7"/>
  <c r="Y53" i="7" s="1"/>
  <c r="AC44" i="7"/>
  <c r="X53" i="7"/>
  <c r="Z46" i="37"/>
  <c r="P46" i="37"/>
  <c r="P137" i="37" s="1"/>
  <c r="P139" i="37" s="1"/>
  <c r="P140" i="37" s="1"/>
  <c r="W46" i="37"/>
  <c r="S46" i="37"/>
  <c r="S137" i="37" s="1"/>
  <c r="S139" i="37" s="1"/>
  <c r="S140" i="37" s="1"/>
  <c r="BA101" i="37"/>
  <c r="U46" i="37"/>
  <c r="U137" i="37" s="1"/>
  <c r="U139" i="37" s="1"/>
  <c r="U140" i="37" s="1"/>
  <c r="X46" i="37"/>
  <c r="Q46" i="37"/>
  <c r="Q137" i="37" s="1"/>
  <c r="Q139" i="37" s="1"/>
  <c r="Q140" i="37" s="1"/>
  <c r="N46" i="37"/>
  <c r="AA38" i="37"/>
  <c r="R46" i="37"/>
  <c r="R137" i="37" s="1"/>
  <c r="R139" i="37" s="1"/>
  <c r="R140" i="37" s="1"/>
  <c r="AN35" i="37"/>
  <c r="Y46" i="37"/>
  <c r="AA40" i="37"/>
  <c r="O46" i="37"/>
  <c r="V46" i="37"/>
  <c r="T137" i="37"/>
  <c r="T139" i="37" s="1"/>
  <c r="T140" i="37" s="1"/>
  <c r="AG79" i="37"/>
  <c r="Z79" i="37"/>
  <c r="AJ79" i="37"/>
  <c r="AB79" i="37"/>
  <c r="AL79" i="37"/>
  <c r="AK79" i="37"/>
  <c r="O79" i="37"/>
  <c r="S53" i="7"/>
  <c r="Q53" i="7"/>
  <c r="R53" i="7"/>
  <c r="W53" i="7"/>
  <c r="G41" i="7"/>
  <c r="AA49" i="7"/>
  <c r="AA45" i="7"/>
  <c r="AB45" i="7" s="1"/>
  <c r="AC45" i="7" s="1"/>
  <c r="AD45" i="7" s="1"/>
  <c r="N49" i="7"/>
  <c r="V53" i="7"/>
  <c r="N47" i="7"/>
  <c r="AA74" i="7"/>
  <c r="M41" i="7"/>
  <c r="AA31" i="7"/>
  <c r="AB31" i="7" s="1"/>
  <c r="N36" i="7"/>
  <c r="N32" i="7"/>
  <c r="BB116" i="37"/>
  <c r="AP116" i="37"/>
  <c r="AS116" i="37"/>
  <c r="BA82" i="37"/>
  <c r="BA84" i="37" s="1"/>
  <c r="BA119" i="37"/>
  <c r="BA128" i="37" s="1"/>
  <c r="W58" i="37"/>
  <c r="AO128" i="37"/>
  <c r="AN112" i="37"/>
  <c r="AN116" i="37" s="1"/>
  <c r="BA105" i="37"/>
  <c r="BB105" i="37" s="1"/>
  <c r="AR109" i="37"/>
  <c r="BB104" i="37"/>
  <c r="V58" i="37"/>
  <c r="BA69" i="37"/>
  <c r="BB69" i="37"/>
  <c r="BB90" i="37"/>
  <c r="BB94" i="37" s="1"/>
  <c r="BA94" i="37"/>
  <c r="AD93" i="7"/>
  <c r="AD96" i="7" s="1"/>
  <c r="AC96" i="7"/>
  <c r="AD101" i="7"/>
  <c r="AD104" i="7" s="1"/>
  <c r="AC104" i="7"/>
  <c r="AB74" i="7"/>
  <c r="AD87" i="7"/>
  <c r="AD89" i="7" s="1"/>
  <c r="AC89" i="7"/>
  <c r="BB72" i="37"/>
  <c r="AO58" i="37"/>
  <c r="BA53" i="37"/>
  <c r="BB53" i="37" s="1"/>
  <c r="BA39" i="37"/>
  <c r="BB39" i="37" s="1"/>
  <c r="AB49" i="7" l="1"/>
  <c r="AA47" i="7"/>
  <c r="N137" i="37"/>
  <c r="N139" i="37" s="1"/>
  <c r="N140" i="37" s="1"/>
  <c r="W137" i="37"/>
  <c r="W139" i="37" s="1"/>
  <c r="W140" i="37" s="1"/>
  <c r="AB47" i="7"/>
  <c r="AB53" i="7" s="1"/>
  <c r="AD44" i="7"/>
  <c r="AC47" i="7"/>
  <c r="AB32" i="7"/>
  <c r="AB36" i="7" s="1"/>
  <c r="AC31" i="7"/>
  <c r="BB82" i="37"/>
  <c r="BB84" i="37" s="1"/>
  <c r="AA46" i="37"/>
  <c r="O137" i="37"/>
  <c r="O139" i="37" s="1"/>
  <c r="O140" i="37" s="1"/>
  <c r="BA112" i="37"/>
  <c r="BA116" i="37" s="1"/>
  <c r="AI46" i="37"/>
  <c r="AJ46" i="37"/>
  <c r="V137" i="37"/>
  <c r="V139" i="37" s="1"/>
  <c r="V140" i="37" s="1"/>
  <c r="AK46" i="37"/>
  <c r="AG46" i="37"/>
  <c r="AN36" i="37"/>
  <c r="AE46" i="37"/>
  <c r="BA35" i="37"/>
  <c r="BB35" i="37" s="1"/>
  <c r="AF46" i="37"/>
  <c r="AD46" i="37"/>
  <c r="AH46" i="37"/>
  <c r="AD79" i="37"/>
  <c r="AS79" i="37"/>
  <c r="AW79" i="37"/>
  <c r="AV79" i="37"/>
  <c r="AM79" i="37"/>
  <c r="AR79" i="37"/>
  <c r="AH79" i="37"/>
  <c r="AI79" i="37"/>
  <c r="AE79" i="37"/>
  <c r="AF79" i="37"/>
  <c r="AC79" i="37"/>
  <c r="AN79" i="37"/>
  <c r="AA79" i="37"/>
  <c r="X41" i="7"/>
  <c r="N53" i="7"/>
  <c r="N34" i="7"/>
  <c r="N41" i="7" s="1"/>
  <c r="S41" i="7"/>
  <c r="L53" i="7"/>
  <c r="AA53" i="7"/>
  <c r="U41" i="7"/>
  <c r="W41" i="7"/>
  <c r="P41" i="7"/>
  <c r="V41" i="7"/>
  <c r="J41" i="7"/>
  <c r="Y41" i="7"/>
  <c r="Q41" i="7"/>
  <c r="O41" i="7"/>
  <c r="T41" i="7"/>
  <c r="R41" i="7"/>
  <c r="Z41" i="7"/>
  <c r="AA32" i="7"/>
  <c r="BB119" i="37"/>
  <c r="BB128" i="37" s="1"/>
  <c r="Y58" i="37"/>
  <c r="Y137" i="37" s="1"/>
  <c r="Y139" i="37" s="1"/>
  <c r="Y140" i="37" s="1"/>
  <c r="BA109" i="37"/>
  <c r="BB109" i="37"/>
  <c r="X58" i="37"/>
  <c r="X137" i="37" s="1"/>
  <c r="X139" i="37" s="1"/>
  <c r="X140" i="37" s="1"/>
  <c r="AA52" i="37"/>
  <c r="AA50" i="37"/>
  <c r="AD74" i="7"/>
  <c r="AC74" i="7"/>
  <c r="BA58" i="37"/>
  <c r="BB58" i="37"/>
  <c r="BB36" i="37" l="1"/>
  <c r="BB40" i="37" s="1"/>
  <c r="AC49" i="7"/>
  <c r="AC53" i="7" s="1"/>
  <c r="AC32" i="7"/>
  <c r="AC36" i="7" s="1"/>
  <c r="AD31" i="7"/>
  <c r="AB34" i="7"/>
  <c r="AL46" i="37"/>
  <c r="AA54" i="37"/>
  <c r="AA58" i="37" s="1"/>
  <c r="AX46" i="37"/>
  <c r="AY46" i="37"/>
  <c r="AN40" i="37"/>
  <c r="AW46" i="37"/>
  <c r="AQ46" i="37"/>
  <c r="AT46" i="37"/>
  <c r="AC46" i="37"/>
  <c r="AV46" i="37"/>
  <c r="AR46" i="37"/>
  <c r="AS46" i="37"/>
  <c r="AB46" i="37"/>
  <c r="BA36" i="37"/>
  <c r="AZ46" i="37"/>
  <c r="AN38" i="37"/>
  <c r="AM46" i="37"/>
  <c r="AU46" i="37"/>
  <c r="AT79" i="37"/>
  <c r="AX79" i="37"/>
  <c r="AP79" i="37"/>
  <c r="AQ79" i="37"/>
  <c r="AZ79" i="37"/>
  <c r="AY79" i="37"/>
  <c r="AO79" i="37"/>
  <c r="AU79" i="37"/>
  <c r="AA34" i="7"/>
  <c r="AA36" i="7"/>
  <c r="Z58" i="37"/>
  <c r="BB38" i="37" l="1"/>
  <c r="AD49" i="7"/>
  <c r="AD47" i="7"/>
  <c r="AD53" i="7" s="1"/>
  <c r="AD32" i="7"/>
  <c r="AD36" i="7" s="1"/>
  <c r="AC34" i="7"/>
  <c r="AN46" i="37"/>
  <c r="AP46" i="37"/>
  <c r="AO46" i="37"/>
  <c r="BB46" i="37"/>
  <c r="BA40" i="37"/>
  <c r="BA38" i="37"/>
  <c r="BA79" i="37"/>
  <c r="AB41" i="7"/>
  <c r="AA41" i="7"/>
  <c r="AD34" i="7" l="1"/>
  <c r="BA46" i="37"/>
  <c r="BB79" i="37"/>
  <c r="AD41" i="7" l="1"/>
  <c r="AC41" i="7"/>
  <c r="D9" i="26"/>
  <c r="K23" i="7" s="1"/>
  <c r="K25" i="7" s="1"/>
  <c r="U23" i="7" l="1"/>
  <c r="U25" i="7" s="1"/>
  <c r="Y23" i="7"/>
  <c r="Y25" i="7" s="1"/>
  <c r="M23" i="7"/>
  <c r="M25" i="7" s="1"/>
  <c r="F23" i="7"/>
  <c r="F25" i="7" s="1"/>
  <c r="D23" i="7"/>
  <c r="D25" i="7" s="1"/>
  <c r="P23" i="7"/>
  <c r="P25" i="7" s="1"/>
  <c r="S23" i="7"/>
  <c r="S25" i="7" s="1"/>
  <c r="X23" i="7"/>
  <c r="X25" i="7" s="1"/>
  <c r="H23" i="7"/>
  <c r="H25" i="7" s="1"/>
  <c r="B23" i="7"/>
  <c r="V23" i="7"/>
  <c r="V25" i="7" s="1"/>
  <c r="Q23" i="7"/>
  <c r="Q25" i="7" s="1"/>
  <c r="G23" i="7"/>
  <c r="G25" i="7" s="1"/>
  <c r="E9" i="26"/>
  <c r="O15" i="7" s="1"/>
  <c r="W23" i="7"/>
  <c r="W25" i="7" s="1"/>
  <c r="R23" i="7"/>
  <c r="R25" i="7" s="1"/>
  <c r="Z23" i="7"/>
  <c r="AB23" i="7" s="1"/>
  <c r="L23" i="7"/>
  <c r="L25" i="7" s="1"/>
  <c r="T23" i="7"/>
  <c r="T25" i="7" s="1"/>
  <c r="E23" i="7"/>
  <c r="E25" i="7" s="1"/>
  <c r="O23" i="7"/>
  <c r="C23" i="7"/>
  <c r="C25" i="7" s="1"/>
  <c r="I23" i="7"/>
  <c r="I25" i="7" s="1"/>
  <c r="J23" i="7"/>
  <c r="J25" i="7" s="1"/>
  <c r="X15" i="7" l="1"/>
  <c r="X20" i="7" s="1"/>
  <c r="Y15" i="7"/>
  <c r="Y20" i="7" s="1"/>
  <c r="P15" i="7"/>
  <c r="P20" i="7" s="1"/>
  <c r="K15" i="7"/>
  <c r="K20" i="7" s="1"/>
  <c r="L15" i="7"/>
  <c r="L20" i="7" s="1"/>
  <c r="F15" i="7"/>
  <c r="F20" i="7" s="1"/>
  <c r="B15" i="7"/>
  <c r="B20" i="7" s="1"/>
  <c r="B107" i="7" s="1"/>
  <c r="J15" i="7"/>
  <c r="J20" i="7" s="1"/>
  <c r="E15" i="7"/>
  <c r="E20" i="7" s="1"/>
  <c r="H15" i="7"/>
  <c r="H20" i="7" s="1"/>
  <c r="U15" i="7"/>
  <c r="U20" i="7" s="1"/>
  <c r="D15" i="7"/>
  <c r="D20" i="7" s="1"/>
  <c r="Q15" i="7"/>
  <c r="Q20" i="7" s="1"/>
  <c r="S15" i="7"/>
  <c r="S20" i="7" s="1"/>
  <c r="Z25" i="7"/>
  <c r="N23" i="7"/>
  <c r="N25" i="7" s="1"/>
  <c r="B25" i="7"/>
  <c r="O20" i="7"/>
  <c r="O107" i="7" s="1"/>
  <c r="AA23" i="7"/>
  <c r="O25" i="7"/>
  <c r="Z15" i="7"/>
  <c r="AB15" i="7" s="1"/>
  <c r="AC15" i="7" s="1"/>
  <c r="AD15" i="7" s="1"/>
  <c r="G15" i="7"/>
  <c r="G20" i="7" s="1"/>
  <c r="V15" i="7"/>
  <c r="V20" i="7" s="1"/>
  <c r="R15" i="7"/>
  <c r="R20" i="7" s="1"/>
  <c r="C15" i="7"/>
  <c r="C20" i="7" s="1"/>
  <c r="M15" i="7"/>
  <c r="M20" i="7" s="1"/>
  <c r="T15" i="7"/>
  <c r="T20" i="7" s="1"/>
  <c r="W15" i="7"/>
  <c r="W20" i="7" s="1"/>
  <c r="I15" i="7"/>
  <c r="I20" i="7" s="1"/>
  <c r="V27" i="7" l="1"/>
  <c r="V107" i="7"/>
  <c r="C27" i="7"/>
  <c r="C124" i="7" s="1"/>
  <c r="D25" i="21" s="1"/>
  <c r="C107" i="7"/>
  <c r="H27" i="7"/>
  <c r="I14" i="21" s="1"/>
  <c r="I17" i="21" s="1"/>
  <c r="I18" i="21" s="1"/>
  <c r="H107" i="7"/>
  <c r="H112" i="7" s="1"/>
  <c r="M27" i="7"/>
  <c r="N14" i="21" s="1"/>
  <c r="N17" i="21" s="1"/>
  <c r="M107" i="7"/>
  <c r="D27" i="7"/>
  <c r="E14" i="21" s="1"/>
  <c r="E17" i="21" s="1"/>
  <c r="E22" i="21" s="1"/>
  <c r="D107" i="7"/>
  <c r="D112" i="7" s="1"/>
  <c r="AA25" i="7"/>
  <c r="AC23" i="7"/>
  <c r="AD23" i="7" s="1"/>
  <c r="K27" i="7"/>
  <c r="K107" i="7"/>
  <c r="K112" i="7" s="1"/>
  <c r="R27" i="7"/>
  <c r="R124" i="7" s="1"/>
  <c r="R107" i="7"/>
  <c r="G27" i="7"/>
  <c r="G107" i="7"/>
  <c r="J27" i="7"/>
  <c r="J127" i="7" s="1"/>
  <c r="J107" i="7"/>
  <c r="L27" i="7"/>
  <c r="L127" i="7" s="1"/>
  <c r="L107" i="7"/>
  <c r="L112" i="7" s="1"/>
  <c r="P27" i="7"/>
  <c r="P127" i="7" s="1"/>
  <c r="P107" i="7"/>
  <c r="P112" i="7" s="1"/>
  <c r="S27" i="7"/>
  <c r="S127" i="7" s="1"/>
  <c r="S107" i="7"/>
  <c r="S112" i="7" s="1"/>
  <c r="U27" i="7"/>
  <c r="U127" i="7" s="1"/>
  <c r="U107" i="7"/>
  <c r="U112" i="7" s="1"/>
  <c r="E27" i="7"/>
  <c r="E124" i="7" s="1"/>
  <c r="F25" i="21" s="1"/>
  <c r="E107" i="7"/>
  <c r="W27" i="7"/>
  <c r="W124" i="7" s="1"/>
  <c r="W107" i="7"/>
  <c r="Y27" i="7"/>
  <c r="Y107" i="7"/>
  <c r="Q27" i="7"/>
  <c r="Q124" i="7" s="1"/>
  <c r="Q107" i="7"/>
  <c r="F27" i="7"/>
  <c r="G14" i="21" s="1"/>
  <c r="G17" i="21" s="1"/>
  <c r="F107" i="7"/>
  <c r="F112" i="7" s="1"/>
  <c r="I27" i="7"/>
  <c r="I127" i="7" s="1"/>
  <c r="I107" i="7"/>
  <c r="T27" i="7"/>
  <c r="T127" i="7" s="1"/>
  <c r="T107" i="7"/>
  <c r="X27" i="7"/>
  <c r="X107" i="7"/>
  <c r="X112" i="7" s="1"/>
  <c r="F124" i="7"/>
  <c r="G25" i="21" s="1"/>
  <c r="L124" i="7"/>
  <c r="M25" i="21" s="1"/>
  <c r="M14" i="21"/>
  <c r="M17" i="21" s="1"/>
  <c r="M18" i="21" s="1"/>
  <c r="B27" i="7"/>
  <c r="C14" i="21" s="1"/>
  <c r="V124" i="7"/>
  <c r="V127" i="7"/>
  <c r="AB25" i="7"/>
  <c r="N15" i="7"/>
  <c r="N20" i="7" s="1"/>
  <c r="N27" i="7" s="1"/>
  <c r="D14" i="21"/>
  <c r="D17" i="21" s="1"/>
  <c r="C127" i="7"/>
  <c r="G124" i="7"/>
  <c r="H25" i="21" s="1"/>
  <c r="H14" i="21"/>
  <c r="H17" i="21" s="1"/>
  <c r="G127" i="7"/>
  <c r="Z20" i="7"/>
  <c r="Y112" i="7"/>
  <c r="O27" i="7"/>
  <c r="AA15" i="7"/>
  <c r="AA20" i="7" s="1"/>
  <c r="G18" i="21"/>
  <c r="G22" i="21"/>
  <c r="J124" i="7"/>
  <c r="K25" i="21" s="1"/>
  <c r="I132" i="7" l="1"/>
  <c r="I8" i="42"/>
  <c r="I11" i="42" s="1"/>
  <c r="I13" i="42" s="1"/>
  <c r="I45" i="42" s="1"/>
  <c r="I48" i="42" s="1"/>
  <c r="I50" i="42" s="1"/>
  <c r="I52" i="42" s="1"/>
  <c r="I53" i="42" s="1"/>
  <c r="C132" i="7"/>
  <c r="C8" i="42"/>
  <c r="C11" i="42" s="1"/>
  <c r="C13" i="42" s="1"/>
  <c r="C45" i="42" s="1"/>
  <c r="C48" i="42" s="1"/>
  <c r="C50" i="42" s="1"/>
  <c r="C52" i="42" s="1"/>
  <c r="C53" i="42" s="1"/>
  <c r="P132" i="7"/>
  <c r="P8" i="42"/>
  <c r="P11" i="42" s="1"/>
  <c r="P13" i="42" s="1"/>
  <c r="P45" i="42" s="1"/>
  <c r="P48" i="42" s="1"/>
  <c r="P50" i="42" s="1"/>
  <c r="P52" i="42" s="1"/>
  <c r="P53" i="42" s="1"/>
  <c r="L132" i="7"/>
  <c r="L8" i="42"/>
  <c r="L11" i="42" s="1"/>
  <c r="L13" i="42" s="1"/>
  <c r="L45" i="42" s="1"/>
  <c r="L48" i="42" s="1"/>
  <c r="L50" i="42" s="1"/>
  <c r="L52" i="42" s="1"/>
  <c r="L53" i="42" s="1"/>
  <c r="T132" i="7"/>
  <c r="T8" i="42"/>
  <c r="T11" i="42" s="1"/>
  <c r="T13" i="42" s="1"/>
  <c r="T45" i="42" s="1"/>
  <c r="T48" i="42" s="1"/>
  <c r="T50" i="42" s="1"/>
  <c r="T52" i="42" s="1"/>
  <c r="T53" i="42" s="1"/>
  <c r="S132" i="7"/>
  <c r="S8" i="42"/>
  <c r="S11" i="42" s="1"/>
  <c r="S13" i="42" s="1"/>
  <c r="S45" i="42" s="1"/>
  <c r="S48" i="42" s="1"/>
  <c r="S50" i="42" s="1"/>
  <c r="S52" i="42" s="1"/>
  <c r="S53" i="42" s="1"/>
  <c r="U132" i="7"/>
  <c r="U8" i="42"/>
  <c r="U11" i="42" s="1"/>
  <c r="U13" i="42" s="1"/>
  <c r="U45" i="42" s="1"/>
  <c r="U48" i="42" s="1"/>
  <c r="U50" i="42" s="1"/>
  <c r="U52" i="42" s="1"/>
  <c r="U53" i="42" s="1"/>
  <c r="G132" i="7"/>
  <c r="G8" i="42"/>
  <c r="G11" i="42" s="1"/>
  <c r="G13" i="42" s="1"/>
  <c r="G45" i="42" s="1"/>
  <c r="G48" i="42" s="1"/>
  <c r="G50" i="42" s="1"/>
  <c r="G52" i="42" s="1"/>
  <c r="G53" i="42" s="1"/>
  <c r="V132" i="7"/>
  <c r="V8" i="42"/>
  <c r="V11" i="42" s="1"/>
  <c r="V13" i="42" s="1"/>
  <c r="V45" i="42" s="1"/>
  <c r="V48" i="42" s="1"/>
  <c r="V50" i="42" s="1"/>
  <c r="V52" i="42" s="1"/>
  <c r="V53" i="42" s="1"/>
  <c r="J132" i="7"/>
  <c r="J8" i="42"/>
  <c r="J11" i="42" s="1"/>
  <c r="J13" i="42" s="1"/>
  <c r="J45" i="42" s="1"/>
  <c r="J48" i="42" s="1"/>
  <c r="J50" i="42" s="1"/>
  <c r="J52" i="42" s="1"/>
  <c r="J53" i="42" s="1"/>
  <c r="Q127" i="7"/>
  <c r="I22" i="21"/>
  <c r="K14" i="21"/>
  <c r="K17" i="21" s="1"/>
  <c r="K22" i="21" s="1"/>
  <c r="D127" i="7"/>
  <c r="U124" i="7"/>
  <c r="I124" i="7"/>
  <c r="J25" i="21" s="1"/>
  <c r="J14" i="21"/>
  <c r="J17" i="21" s="1"/>
  <c r="J18" i="21" s="1"/>
  <c r="H127" i="7"/>
  <c r="H124" i="7"/>
  <c r="I25" i="21" s="1"/>
  <c r="I36" i="21" s="1"/>
  <c r="I40" i="21" s="1"/>
  <c r="I43" i="21" s="1"/>
  <c r="E127" i="7"/>
  <c r="F14" i="21"/>
  <c r="F17" i="21" s="1"/>
  <c r="F22" i="21" s="1"/>
  <c r="D124" i="7"/>
  <c r="E25" i="21" s="1"/>
  <c r="E36" i="21" s="1"/>
  <c r="E40" i="21" s="1"/>
  <c r="E43" i="21" s="1"/>
  <c r="M124" i="7"/>
  <c r="N25" i="21" s="1"/>
  <c r="S124" i="7"/>
  <c r="M127" i="7"/>
  <c r="P124" i="7"/>
  <c r="K124" i="7"/>
  <c r="L25" i="21" s="1"/>
  <c r="L14" i="21"/>
  <c r="L17" i="21" s="1"/>
  <c r="K127" i="7"/>
  <c r="X124" i="7"/>
  <c r="X127" i="7"/>
  <c r="AA27" i="7"/>
  <c r="Q14" i="21" s="1"/>
  <c r="Q17" i="21" s="1"/>
  <c r="T124" i="7"/>
  <c r="L134" i="7"/>
  <c r="L136" i="7" s="1"/>
  <c r="L137" i="7" s="1"/>
  <c r="W127" i="7"/>
  <c r="R127" i="7"/>
  <c r="Z27" i="7"/>
  <c r="Z124" i="7" s="1"/>
  <c r="Z107" i="7"/>
  <c r="F127" i="7"/>
  <c r="Y127" i="7"/>
  <c r="Y124" i="7"/>
  <c r="M22" i="21"/>
  <c r="M23" i="21" s="1"/>
  <c r="E18" i="21"/>
  <c r="B112" i="7"/>
  <c r="B127" i="7"/>
  <c r="B8" i="42" s="1"/>
  <c r="D18" i="21"/>
  <c r="D22" i="21"/>
  <c r="V112" i="7"/>
  <c r="V134" i="7" s="1"/>
  <c r="V136" i="7" s="1"/>
  <c r="V137" i="7" s="1"/>
  <c r="W112" i="7"/>
  <c r="N107" i="7"/>
  <c r="E112" i="7"/>
  <c r="N18" i="21"/>
  <c r="N22" i="21"/>
  <c r="C17" i="21"/>
  <c r="C112" i="7"/>
  <c r="C134" i="7" s="1"/>
  <c r="C136" i="7" s="1"/>
  <c r="C137" i="7" s="1"/>
  <c r="E23" i="21"/>
  <c r="G36" i="21"/>
  <c r="G40" i="21" s="1"/>
  <c r="G43" i="21" s="1"/>
  <c r="G23" i="21"/>
  <c r="M112" i="7"/>
  <c r="K18" i="21"/>
  <c r="AB20" i="7"/>
  <c r="I112" i="7"/>
  <c r="R112" i="7"/>
  <c r="Q112" i="7"/>
  <c r="I23" i="21"/>
  <c r="H18" i="21"/>
  <c r="H22" i="21"/>
  <c r="J112" i="7"/>
  <c r="J134" i="7" s="1"/>
  <c r="J136" i="7" s="1"/>
  <c r="J137" i="7" s="1"/>
  <c r="T112" i="7"/>
  <c r="O127" i="7"/>
  <c r="O8" i="42" s="1"/>
  <c r="G112" i="7"/>
  <c r="AD25" i="7"/>
  <c r="AC25" i="7"/>
  <c r="U134" i="7" l="1"/>
  <c r="U136" i="7" s="1"/>
  <c r="U137" i="7" s="1"/>
  <c r="J22" i="21"/>
  <c r="R132" i="7"/>
  <c r="R8" i="42"/>
  <c r="R11" i="42" s="1"/>
  <c r="R13" i="42" s="1"/>
  <c r="R45" i="42" s="1"/>
  <c r="R48" i="42" s="1"/>
  <c r="R50" i="42" s="1"/>
  <c r="R52" i="42" s="1"/>
  <c r="R53" i="42" s="1"/>
  <c r="E132" i="7"/>
  <c r="E134" i="7" s="1"/>
  <c r="E136" i="7" s="1"/>
  <c r="E137" i="7" s="1"/>
  <c r="E8" i="42"/>
  <c r="E11" i="42" s="1"/>
  <c r="E13" i="42" s="1"/>
  <c r="E45" i="42" s="1"/>
  <c r="E48" i="42" s="1"/>
  <c r="E50" i="42" s="1"/>
  <c r="E52" i="42" s="1"/>
  <c r="E53" i="42" s="1"/>
  <c r="W132" i="7"/>
  <c r="W8" i="42"/>
  <c r="W11" i="42" s="1"/>
  <c r="W13" i="42" s="1"/>
  <c r="W45" i="42" s="1"/>
  <c r="W48" i="42" s="1"/>
  <c r="W50" i="42" s="1"/>
  <c r="W52" i="42" s="1"/>
  <c r="W53" i="42" s="1"/>
  <c r="X132" i="7"/>
  <c r="X134" i="7" s="1"/>
  <c r="X136" i="7" s="1"/>
  <c r="X137" i="7" s="1"/>
  <c r="X8" i="42"/>
  <c r="X11" i="42" s="1"/>
  <c r="X13" i="42" s="1"/>
  <c r="X45" i="42" s="1"/>
  <c r="X48" i="42" s="1"/>
  <c r="X50" i="42" s="1"/>
  <c r="X52" i="42" s="1"/>
  <c r="X53" i="42" s="1"/>
  <c r="D132" i="7"/>
  <c r="D134" i="7" s="1"/>
  <c r="D136" i="7" s="1"/>
  <c r="D137" i="7" s="1"/>
  <c r="D8" i="42"/>
  <c r="D11" i="42" s="1"/>
  <c r="D13" i="42" s="1"/>
  <c r="D45" i="42" s="1"/>
  <c r="D48" i="42" s="1"/>
  <c r="D50" i="42" s="1"/>
  <c r="D52" i="42" s="1"/>
  <c r="D53" i="42" s="1"/>
  <c r="B11" i="42"/>
  <c r="B13" i="42" s="1"/>
  <c r="B45" i="42" s="1"/>
  <c r="K132" i="7"/>
  <c r="K134" i="7" s="1"/>
  <c r="K136" i="7" s="1"/>
  <c r="K137" i="7" s="1"/>
  <c r="K8" i="42"/>
  <c r="K11" i="42" s="1"/>
  <c r="K13" i="42" s="1"/>
  <c r="K45" i="42" s="1"/>
  <c r="K48" i="42" s="1"/>
  <c r="K50" i="42" s="1"/>
  <c r="K52" i="42" s="1"/>
  <c r="K53" i="42" s="1"/>
  <c r="G134" i="7"/>
  <c r="G136" i="7" s="1"/>
  <c r="G137" i="7" s="1"/>
  <c r="Q132" i="7"/>
  <c r="Q134" i="7" s="1"/>
  <c r="Q136" i="7" s="1"/>
  <c r="Q137" i="7" s="1"/>
  <c r="Q8" i="42"/>
  <c r="Q11" i="42" s="1"/>
  <c r="Q13" i="42" s="1"/>
  <c r="Q45" i="42" s="1"/>
  <c r="I134" i="7"/>
  <c r="I136" i="7" s="1"/>
  <c r="I137" i="7" s="1"/>
  <c r="O11" i="42"/>
  <c r="O13" i="42" s="1"/>
  <c r="O45" i="42" s="1"/>
  <c r="O48" i="42" s="1"/>
  <c r="O50" i="42" s="1"/>
  <c r="O52" i="42" s="1"/>
  <c r="O53" i="42" s="1"/>
  <c r="M132" i="7"/>
  <c r="M134" i="7" s="1"/>
  <c r="M136" i="7" s="1"/>
  <c r="M137" i="7" s="1"/>
  <c r="M8" i="42"/>
  <c r="M11" i="42" s="1"/>
  <c r="M13" i="42" s="1"/>
  <c r="M45" i="42" s="1"/>
  <c r="M48" i="42" s="1"/>
  <c r="M50" i="42" s="1"/>
  <c r="M52" i="42" s="1"/>
  <c r="M53" i="42" s="1"/>
  <c r="H132" i="7"/>
  <c r="H134" i="7" s="1"/>
  <c r="H136" i="7" s="1"/>
  <c r="H137" i="7" s="1"/>
  <c r="H8" i="42"/>
  <c r="H11" i="42" s="1"/>
  <c r="H13" i="42" s="1"/>
  <c r="H45" i="42" s="1"/>
  <c r="H48" i="42" s="1"/>
  <c r="H50" i="42" s="1"/>
  <c r="H52" i="42" s="1"/>
  <c r="H53" i="42" s="1"/>
  <c r="Y132" i="7"/>
  <c r="Y134" i="7" s="1"/>
  <c r="Y136" i="7" s="1"/>
  <c r="Y137" i="7" s="1"/>
  <c r="Y8" i="42"/>
  <c r="Y11" i="42" s="1"/>
  <c r="Y13" i="42" s="1"/>
  <c r="Y45" i="42" s="1"/>
  <c r="Y48" i="42" s="1"/>
  <c r="Y50" i="42" s="1"/>
  <c r="Y52" i="42" s="1"/>
  <c r="Y53" i="42" s="1"/>
  <c r="F132" i="7"/>
  <c r="F134" i="7" s="1"/>
  <c r="F136" i="7" s="1"/>
  <c r="F137" i="7" s="1"/>
  <c r="F8" i="42"/>
  <c r="F11" i="42" s="1"/>
  <c r="F13" i="42" s="1"/>
  <c r="F45" i="42" s="1"/>
  <c r="F48" i="42" s="1"/>
  <c r="F50" i="42" s="1"/>
  <c r="F52" i="42" s="1"/>
  <c r="F53" i="42" s="1"/>
  <c r="R134" i="7"/>
  <c r="R136" i="7" s="1"/>
  <c r="R137" i="7" s="1"/>
  <c r="F18" i="21"/>
  <c r="O14" i="21"/>
  <c r="O17" i="21" s="1"/>
  <c r="O22" i="21" s="1"/>
  <c r="N121" i="7"/>
  <c r="N124" i="7" s="1"/>
  <c r="S134" i="7"/>
  <c r="S136" i="7" s="1"/>
  <c r="S137" i="7" s="1"/>
  <c r="P134" i="7"/>
  <c r="P136" i="7" s="1"/>
  <c r="P137" i="7" s="1"/>
  <c r="M36" i="21"/>
  <c r="M40" i="21" s="1"/>
  <c r="M43" i="21" s="1"/>
  <c r="M44" i="21" s="1"/>
  <c r="N127" i="7"/>
  <c r="N132" i="7" s="1"/>
  <c r="B124" i="7"/>
  <c r="C25" i="21" s="1"/>
  <c r="O25" i="21" s="1"/>
  <c r="Z127" i="7"/>
  <c r="T134" i="7"/>
  <c r="T136" i="7" s="1"/>
  <c r="T137" i="7" s="1"/>
  <c r="L22" i="21"/>
  <c r="L18" i="21"/>
  <c r="W134" i="7"/>
  <c r="W136" i="7" s="1"/>
  <c r="W137" i="7" s="1"/>
  <c r="AB27" i="7"/>
  <c r="AB127" i="7" s="1"/>
  <c r="AB107" i="7"/>
  <c r="B132" i="7"/>
  <c r="O124" i="7"/>
  <c r="AA121" i="7"/>
  <c r="N36" i="21"/>
  <c r="N40" i="21" s="1"/>
  <c r="N43" i="21" s="1"/>
  <c r="N23" i="21"/>
  <c r="Q18" i="21"/>
  <c r="Q22" i="21"/>
  <c r="F36" i="21"/>
  <c r="F40" i="21" s="1"/>
  <c r="F43" i="21" s="1"/>
  <c r="F23" i="21"/>
  <c r="N112" i="7"/>
  <c r="O132" i="7"/>
  <c r="AD20" i="7"/>
  <c r="AC20" i="7"/>
  <c r="Z112" i="7"/>
  <c r="G44" i="21"/>
  <c r="G46" i="21"/>
  <c r="G47" i="21" s="1"/>
  <c r="C18" i="21"/>
  <c r="C22" i="21"/>
  <c r="E46" i="21"/>
  <c r="E47" i="21" s="1"/>
  <c r="E44" i="21"/>
  <c r="H36" i="21"/>
  <c r="H40" i="21" s="1"/>
  <c r="H43" i="21" s="1"/>
  <c r="H23" i="21"/>
  <c r="J36" i="21"/>
  <c r="J40" i="21" s="1"/>
  <c r="J43" i="21" s="1"/>
  <c r="J23" i="21"/>
  <c r="D23" i="21"/>
  <c r="D36" i="21"/>
  <c r="D40" i="21" s="1"/>
  <c r="D43" i="21" s="1"/>
  <c r="AA107" i="7"/>
  <c r="O112" i="7"/>
  <c r="K23" i="21"/>
  <c r="K36" i="21"/>
  <c r="K40" i="21" s="1"/>
  <c r="K43" i="21" s="1"/>
  <c r="I44" i="21"/>
  <c r="I46" i="21"/>
  <c r="I47" i="21" s="1"/>
  <c r="Z132" i="7" l="1"/>
  <c r="Z8" i="42"/>
  <c r="N45" i="42"/>
  <c r="B48" i="42"/>
  <c r="B50" i="42" s="1"/>
  <c r="B52" i="42" s="1"/>
  <c r="B53" i="42" s="1"/>
  <c r="N8" i="42"/>
  <c r="N11" i="42" s="1"/>
  <c r="N13" i="42" s="1"/>
  <c r="AA124" i="7"/>
  <c r="Q25" i="21" s="1"/>
  <c r="Q36" i="21" s="1"/>
  <c r="Q40" i="21" s="1"/>
  <c r="Q43" i="21" s="1"/>
  <c r="AB121" i="7"/>
  <c r="AC121" i="7" s="1"/>
  <c r="AD121" i="7" s="1"/>
  <c r="AA8" i="42"/>
  <c r="AB132" i="7"/>
  <c r="AB8" i="42"/>
  <c r="Q48" i="42"/>
  <c r="Q50" i="42" s="1"/>
  <c r="Q52" i="42" s="1"/>
  <c r="Q53" i="42" s="1"/>
  <c r="N134" i="7"/>
  <c r="N136" i="7" s="1"/>
  <c r="N137" i="7" s="1"/>
  <c r="AA127" i="7"/>
  <c r="AA132" i="7" s="1"/>
  <c r="O18" i="21"/>
  <c r="M46" i="21"/>
  <c r="M47" i="21" s="1"/>
  <c r="Z134" i="7"/>
  <c r="Z136" i="7" s="1"/>
  <c r="Z137" i="7" s="1"/>
  <c r="R14" i="21"/>
  <c r="R17" i="21" s="1"/>
  <c r="B134" i="7"/>
  <c r="B136" i="7" s="1"/>
  <c r="B137" i="7" s="1"/>
  <c r="L36" i="21"/>
  <c r="L40" i="21" s="1"/>
  <c r="L43" i="21" s="1"/>
  <c r="L23" i="21"/>
  <c r="AC27" i="7"/>
  <c r="AC127" i="7" s="1"/>
  <c r="AC107" i="7"/>
  <c r="AD27" i="7"/>
  <c r="AD127" i="7" s="1"/>
  <c r="AD107" i="7"/>
  <c r="O134" i="7"/>
  <c r="O136" i="7" s="1"/>
  <c r="O137" i="7" s="1"/>
  <c r="C36" i="21"/>
  <c r="C40" i="21" s="1"/>
  <c r="C43" i="21" s="1"/>
  <c r="C23" i="21"/>
  <c r="J44" i="21"/>
  <c r="J46" i="21"/>
  <c r="J47" i="21" s="1"/>
  <c r="H46" i="21"/>
  <c r="H47" i="21" s="1"/>
  <c r="H44" i="21"/>
  <c r="AB112" i="7"/>
  <c r="F44" i="21"/>
  <c r="F46" i="21"/>
  <c r="F47" i="21" s="1"/>
  <c r="K46" i="21"/>
  <c r="K47" i="21" s="1"/>
  <c r="K44" i="21"/>
  <c r="R22" i="21"/>
  <c r="R18" i="21"/>
  <c r="Q23" i="21"/>
  <c r="AA112" i="7"/>
  <c r="D44" i="21"/>
  <c r="D46" i="21"/>
  <c r="D47" i="21" s="1"/>
  <c r="O36" i="21"/>
  <c r="O40" i="21" s="1"/>
  <c r="O43" i="21" s="1"/>
  <c r="O23" i="21"/>
  <c r="N46" i="21"/>
  <c r="N47" i="21" s="1"/>
  <c r="N44" i="21"/>
  <c r="AB124" i="7" l="1"/>
  <c r="R25" i="21" s="1"/>
  <c r="AA134" i="7"/>
  <c r="AA136" i="7" s="1"/>
  <c r="AA137" i="7" s="1"/>
  <c r="N48" i="42"/>
  <c r="N50" i="42"/>
  <c r="N52" i="42" s="1"/>
  <c r="N53" i="42" s="1"/>
  <c r="AD132" i="7"/>
  <c r="AD8" i="42"/>
  <c r="AC132" i="7"/>
  <c r="AC8" i="42"/>
  <c r="T14" i="21"/>
  <c r="T17" i="21" s="1"/>
  <c r="T22" i="21" s="1"/>
  <c r="AB134" i="7"/>
  <c r="AB136" i="7" s="1"/>
  <c r="AB137" i="7" s="1"/>
  <c r="AC124" i="7"/>
  <c r="S25" i="21" s="1"/>
  <c r="S14" i="21"/>
  <c r="S17" i="21" s="1"/>
  <c r="S18" i="21" s="1"/>
  <c r="L44" i="21"/>
  <c r="L46" i="21"/>
  <c r="L47" i="21" s="1"/>
  <c r="AD124" i="7"/>
  <c r="T25" i="21" s="1"/>
  <c r="O46" i="21"/>
  <c r="O47" i="21" s="1"/>
  <c r="O44" i="21"/>
  <c r="R23" i="21"/>
  <c r="R36" i="21"/>
  <c r="R40" i="21" s="1"/>
  <c r="R43" i="21" s="1"/>
  <c r="Q46" i="21"/>
  <c r="Q47" i="21" s="1"/>
  <c r="Q44" i="21"/>
  <c r="C44" i="21"/>
  <c r="C46" i="21"/>
  <c r="C47" i="21" s="1"/>
  <c r="AC112" i="7"/>
  <c r="AD112" i="7"/>
  <c r="T18" i="21" l="1"/>
  <c r="S22" i="21"/>
  <c r="AC134" i="7"/>
  <c r="AC136" i="7" s="1"/>
  <c r="AC137" i="7" s="1"/>
  <c r="AD134" i="7"/>
  <c r="AD136" i="7" s="1"/>
  <c r="AD137" i="7" s="1"/>
  <c r="T23" i="21"/>
  <c r="T36" i="21"/>
  <c r="T40" i="21" s="1"/>
  <c r="T43" i="21" s="1"/>
  <c r="S36" i="21"/>
  <c r="S40" i="21" s="1"/>
  <c r="S43" i="21" s="1"/>
  <c r="S23" i="21"/>
  <c r="R44" i="21"/>
  <c r="R46" i="21"/>
  <c r="R47" i="21" s="1"/>
  <c r="T46" i="21" l="1"/>
  <c r="T47" i="21" s="1"/>
  <c r="T44" i="21"/>
  <c r="S44" i="21"/>
  <c r="S46" i="21"/>
  <c r="S47" i="21" s="1"/>
  <c r="AR116" i="37" l="1"/>
  <c r="AQ116" i="37"/>
  <c r="AZ116" i="37"/>
  <c r="AX116" i="37"/>
  <c r="AY116" i="37"/>
  <c r="AU116" i="37"/>
  <c r="AM116" i="37"/>
  <c r="AH116" i="37"/>
  <c r="AG116" i="37"/>
  <c r="AJ116" i="37"/>
  <c r="AC29" i="37"/>
  <c r="AC31" i="37" s="1"/>
  <c r="AB29" i="37"/>
  <c r="AB31" i="37" s="1"/>
  <c r="AH29" i="37"/>
  <c r="AH31" i="37" s="1"/>
  <c r="AD29" i="37"/>
  <c r="AD31" i="37" s="1"/>
  <c r="AF29" i="37"/>
  <c r="AF31" i="37" s="1"/>
  <c r="AL29" i="37"/>
  <c r="AL31" i="37" s="1"/>
  <c r="AE29" i="37"/>
  <c r="AE31" i="37" s="1"/>
  <c r="AG29" i="37"/>
  <c r="AG31" i="37" s="1"/>
  <c r="AK29" i="37"/>
  <c r="AK31" i="37" s="1"/>
  <c r="AJ29" i="37"/>
  <c r="AJ31" i="37" s="1"/>
  <c r="AR29" i="37"/>
  <c r="AR31" i="37" s="1"/>
  <c r="AI29" i="37"/>
  <c r="AI31" i="37" s="1"/>
  <c r="AA29" i="37"/>
  <c r="AA31" i="37" s="1"/>
  <c r="Z29" i="37"/>
  <c r="Z31" i="37" s="1"/>
  <c r="AI131" i="37" l="1"/>
  <c r="AC131" i="37"/>
  <c r="AE131" i="37"/>
  <c r="AR131" i="37"/>
  <c r="AK131" i="37"/>
  <c r="AF131" i="37"/>
  <c r="AH131" i="37"/>
  <c r="AJ131" i="37"/>
  <c r="AG131" i="37"/>
  <c r="AL131" i="37"/>
  <c r="AD131" i="37"/>
  <c r="Z131" i="37"/>
  <c r="Z9" i="42" s="1"/>
  <c r="AB131" i="37"/>
  <c r="AN27" i="37"/>
  <c r="AN29" i="37" s="1"/>
  <c r="AN31" i="37" s="1"/>
  <c r="AZ29" i="37"/>
  <c r="AZ31" i="37" s="1"/>
  <c r="AQ29" i="37"/>
  <c r="AQ31" i="37" s="1"/>
  <c r="AU29" i="37"/>
  <c r="AU31" i="37" s="1"/>
  <c r="AS29" i="37"/>
  <c r="AS31" i="37" s="1"/>
  <c r="AW29" i="37"/>
  <c r="AW31" i="37" s="1"/>
  <c r="AM29" i="37"/>
  <c r="AM31" i="37" s="1"/>
  <c r="AT29" i="37"/>
  <c r="AT31" i="37" s="1"/>
  <c r="AP29" i="37"/>
  <c r="AP31" i="37" s="1"/>
  <c r="AX29" i="37"/>
  <c r="AX31" i="37" s="1"/>
  <c r="AY29" i="37"/>
  <c r="AY31" i="37" s="1"/>
  <c r="AV29" i="37"/>
  <c r="AV31" i="37" s="1"/>
  <c r="Z11" i="42" l="1"/>
  <c r="Z13" i="42" s="1"/>
  <c r="Z45" i="42" s="1"/>
  <c r="AA9" i="42"/>
  <c r="AA11" i="42" s="1"/>
  <c r="AA13" i="42" s="1"/>
  <c r="AB45" i="42" s="1"/>
  <c r="BA27" i="37"/>
  <c r="BB27" i="37" s="1"/>
  <c r="AO29" i="37"/>
  <c r="AO31" i="37" s="1"/>
  <c r="AH135" i="37"/>
  <c r="AH137" i="37" s="1"/>
  <c r="AH139" i="37" s="1"/>
  <c r="AH140" i="37" s="1"/>
  <c r="Z135" i="37"/>
  <c r="Z137" i="37" s="1"/>
  <c r="Z139" i="37" s="1"/>
  <c r="Z140" i="37" s="1"/>
  <c r="AA131" i="37"/>
  <c r="AB9" i="42" s="1"/>
  <c r="AB11" i="42" s="1"/>
  <c r="AB13" i="42" s="1"/>
  <c r="AU131" i="37"/>
  <c r="AJ135" i="37"/>
  <c r="AJ137" i="37" s="1"/>
  <c r="AJ139" i="37" s="1"/>
  <c r="AJ140" i="37" s="1"/>
  <c r="AF135" i="37"/>
  <c r="AF137" i="37" s="1"/>
  <c r="AF139" i="37" s="1"/>
  <c r="AF140" i="37" s="1"/>
  <c r="AV131" i="37"/>
  <c r="AY131" i="37"/>
  <c r="AT131" i="37"/>
  <c r="AQ131" i="37"/>
  <c r="AK135" i="37"/>
  <c r="AK137" i="37" s="1"/>
  <c r="AK139" i="37" s="1"/>
  <c r="AK140" i="37" s="1"/>
  <c r="AR135" i="37"/>
  <c r="AR137" i="37" s="1"/>
  <c r="AR139" i="37" s="1"/>
  <c r="AR140" i="37" s="1"/>
  <c r="AW131" i="37"/>
  <c r="AZ131" i="37"/>
  <c r="AB135" i="37"/>
  <c r="AB137" i="37" s="1"/>
  <c r="AB139" i="37" s="1"/>
  <c r="AB140" i="37" s="1"/>
  <c r="AX131" i="37"/>
  <c r="AP131" i="37"/>
  <c r="AD135" i="37"/>
  <c r="AD137" i="37" s="1"/>
  <c r="AD139" i="37" s="1"/>
  <c r="AD140" i="37" s="1"/>
  <c r="AE135" i="37"/>
  <c r="AE137" i="37" s="1"/>
  <c r="AE139" i="37" s="1"/>
  <c r="AE140" i="37" s="1"/>
  <c r="AC135" i="37"/>
  <c r="AC137" i="37" s="1"/>
  <c r="AC139" i="37" s="1"/>
  <c r="AC140" i="37" s="1"/>
  <c r="AM131" i="37"/>
  <c r="AL135" i="37"/>
  <c r="AL137" i="37" s="1"/>
  <c r="AL139" i="37" s="1"/>
  <c r="AL140" i="37" s="1"/>
  <c r="AS131" i="37"/>
  <c r="AG135" i="37"/>
  <c r="AG137" i="37" s="1"/>
  <c r="AG139" i="37" s="1"/>
  <c r="AG140" i="37" s="1"/>
  <c r="AI135" i="37"/>
  <c r="AI137" i="37" s="1"/>
  <c r="AI139" i="37" s="1"/>
  <c r="AI140" i="37" s="1"/>
  <c r="AB48" i="42" l="1"/>
  <c r="AB50" i="42"/>
  <c r="AB52" i="42" s="1"/>
  <c r="AB53" i="42" s="1"/>
  <c r="Z48" i="42"/>
  <c r="Z50" i="42" s="1"/>
  <c r="Z52" i="42" s="1"/>
  <c r="Z53" i="42" s="1"/>
  <c r="AA45" i="42"/>
  <c r="AZ135" i="37"/>
  <c r="AZ137" i="37" s="1"/>
  <c r="AZ139" i="37" s="1"/>
  <c r="AZ140" i="37" s="1"/>
  <c r="AW135" i="37"/>
  <c r="AW137" i="37" s="1"/>
  <c r="AW139" i="37" s="1"/>
  <c r="AW140" i="37" s="1"/>
  <c r="AU135" i="37"/>
  <c r="AU137" i="37" s="1"/>
  <c r="AU139" i="37" s="1"/>
  <c r="AU140" i="37" s="1"/>
  <c r="AV135" i="37"/>
  <c r="AV137" i="37" s="1"/>
  <c r="AV139" i="37" s="1"/>
  <c r="AV140" i="37" s="1"/>
  <c r="AQ135" i="37"/>
  <c r="AQ137" i="37" s="1"/>
  <c r="AQ139" i="37" s="1"/>
  <c r="AQ140" i="37" s="1"/>
  <c r="AA135" i="37"/>
  <c r="AA137" i="37" s="1"/>
  <c r="AA139" i="37" s="1"/>
  <c r="AA140" i="37" s="1"/>
  <c r="AN131" i="37"/>
  <c r="AM135" i="37"/>
  <c r="AM137" i="37" s="1"/>
  <c r="AM139" i="37" s="1"/>
  <c r="AM140" i="37" s="1"/>
  <c r="AO131" i="37"/>
  <c r="AS135" i="37"/>
  <c r="AS137" i="37" s="1"/>
  <c r="AS139" i="37" s="1"/>
  <c r="AS140" i="37" s="1"/>
  <c r="AP135" i="37"/>
  <c r="AP137" i="37" s="1"/>
  <c r="AP139" i="37" s="1"/>
  <c r="AP140" i="37" s="1"/>
  <c r="AT135" i="37"/>
  <c r="AT137" i="37" s="1"/>
  <c r="AT139" i="37" s="1"/>
  <c r="AT140" i="37" s="1"/>
  <c r="AX135" i="37"/>
  <c r="AX137" i="37" s="1"/>
  <c r="AX139" i="37" s="1"/>
  <c r="AX140" i="37" s="1"/>
  <c r="AY135" i="37"/>
  <c r="AY137" i="37" s="1"/>
  <c r="AY139" i="37" s="1"/>
  <c r="AY140" i="37" s="1"/>
  <c r="BB29" i="37"/>
  <c r="BB31" i="37" s="1"/>
  <c r="BA29" i="37"/>
  <c r="BA31" i="37" s="1"/>
  <c r="AA48" i="42" l="1"/>
  <c r="AA50" i="42"/>
  <c r="AA52" i="42" s="1"/>
  <c r="AA53" i="42" s="1"/>
  <c r="BB131" i="37"/>
  <c r="AD9" i="42" s="1"/>
  <c r="AD11" i="42" s="1"/>
  <c r="AD13" i="42" s="1"/>
  <c r="AD45" i="42" s="1"/>
  <c r="AN135" i="37"/>
  <c r="AN137" i="37" s="1"/>
  <c r="AN139" i="37" s="1"/>
  <c r="AN140" i="37" s="1"/>
  <c r="BA131" i="37"/>
  <c r="AC9" i="42" s="1"/>
  <c r="AC11" i="42" s="1"/>
  <c r="AC13" i="42" s="1"/>
  <c r="AC45" i="42" s="1"/>
  <c r="AO135" i="37"/>
  <c r="AO137" i="37" s="1"/>
  <c r="AO139" i="37" s="1"/>
  <c r="AO140" i="37" s="1"/>
  <c r="AC48" i="42" l="1"/>
  <c r="AC50" i="42" s="1"/>
  <c r="AC52" i="42" s="1"/>
  <c r="AC53" i="42" s="1"/>
  <c r="AD48" i="42"/>
  <c r="AD50" i="42" s="1"/>
  <c r="AD52" i="42" s="1"/>
  <c r="AD53" i="42" s="1"/>
  <c r="BA135" i="37"/>
  <c r="BA137" i="37" s="1"/>
  <c r="BA139" i="37" s="1"/>
  <c r="BA140" i="37" s="1"/>
  <c r="BB135" i="37"/>
  <c r="BB137" i="37" s="1"/>
  <c r="BB139" i="37" s="1"/>
  <c r="BB140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Daily</author>
  </authors>
  <commentList>
    <comment ref="F28" authorId="0" shapeId="0" xr:uid="{37F03565-A804-4F8F-8580-9DF17A258D06}">
      <text>
        <r>
          <rPr>
            <b/>
            <sz val="9"/>
            <color indexed="81"/>
            <rFont val="Tahoma"/>
            <family val="2"/>
          </rPr>
          <t>Mike Daily:</t>
        </r>
        <r>
          <rPr>
            <sz val="9"/>
            <color indexed="81"/>
            <rFont val="Tahoma"/>
            <family val="2"/>
          </rPr>
          <t xml:space="preserve">
Wuxi</t>
        </r>
      </text>
    </comment>
    <comment ref="G28" authorId="0" shapeId="0" xr:uid="{33F5B9F8-C7B5-4E06-A9B4-0ED682E15E6B}">
      <text>
        <r>
          <rPr>
            <b/>
            <sz val="9"/>
            <color indexed="81"/>
            <rFont val="Tahoma"/>
            <family val="2"/>
          </rPr>
          <t>Mike Daily:</t>
        </r>
        <r>
          <rPr>
            <sz val="9"/>
            <color indexed="81"/>
            <rFont val="Tahoma"/>
            <family val="2"/>
          </rPr>
          <t xml:space="preserve">
Fusion additional</t>
        </r>
      </text>
    </comment>
    <comment ref="H28" authorId="0" shapeId="0" xr:uid="{29F5807C-FED3-4341-A44C-78273B627F51}">
      <text>
        <r>
          <rPr>
            <b/>
            <sz val="9"/>
            <color indexed="81"/>
            <rFont val="Tahoma"/>
            <family val="2"/>
          </rPr>
          <t>Mike Daily:</t>
        </r>
        <r>
          <rPr>
            <sz val="9"/>
            <color indexed="81"/>
            <rFont val="Tahoma"/>
            <family val="2"/>
          </rPr>
          <t xml:space="preserve">
Biohaven</t>
        </r>
      </text>
    </comment>
    <comment ref="J28" authorId="0" shapeId="0" xr:uid="{5D6E78E0-48AA-449B-B4AD-20B1CD3170D0}">
      <text>
        <r>
          <rPr>
            <b/>
            <sz val="9"/>
            <color indexed="81"/>
            <rFont val="Tahoma"/>
            <family val="2"/>
          </rPr>
          <t>Mike Daily:</t>
        </r>
        <r>
          <rPr>
            <sz val="9"/>
            <color indexed="81"/>
            <rFont val="Tahoma"/>
            <family val="2"/>
          </rPr>
          <t xml:space="preserve">
Biovectra</t>
        </r>
      </text>
    </comment>
    <comment ref="K28" authorId="0" shapeId="0" xr:uid="{F89AE75A-9E13-4EE6-A92F-00A5546AE786}">
      <text>
        <r>
          <rPr>
            <b/>
            <sz val="9"/>
            <color indexed="81"/>
            <rFont val="Tahoma"/>
            <family val="2"/>
          </rPr>
          <t>Mike Daily:</t>
        </r>
        <r>
          <rPr>
            <sz val="9"/>
            <color indexed="81"/>
            <rFont val="Tahoma"/>
            <family val="2"/>
          </rPr>
          <t xml:space="preserve">
Quralis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mjdai</author>
  </authors>
  <commentList>
    <comment ref="H7" authorId="0" shapeId="0" xr:uid="{5C1AB65D-72E6-4056-9367-B3B079D4953E}">
      <text>
        <r>
          <rPr>
            <b/>
            <sz val="9"/>
            <color indexed="81"/>
            <rFont val="Tahoma"/>
            <family val="2"/>
          </rPr>
          <t>mjdai:</t>
        </r>
        <r>
          <rPr>
            <sz val="9"/>
            <color indexed="81"/>
            <rFont val="Tahoma"/>
            <family val="2"/>
          </rPr>
          <t xml:space="preserve">
Payroll dept</t>
        </r>
      </text>
    </comment>
    <comment ref="H159" authorId="0" shapeId="0" xr:uid="{61761007-EB6B-41E2-803A-38C857A2C9CF}">
      <text>
        <r>
          <rPr>
            <b/>
            <sz val="9"/>
            <color indexed="81"/>
            <rFont val="Tahoma"/>
            <family val="2"/>
          </rPr>
          <t>mjdai:</t>
        </r>
        <r>
          <rPr>
            <sz val="9"/>
            <color indexed="81"/>
            <rFont val="Tahoma"/>
            <family val="2"/>
          </rPr>
          <t xml:space="preserve">
Payroll dept</t>
        </r>
      </text>
    </comment>
  </commentList>
</comments>
</file>

<file path=xl/sharedStrings.xml><?xml version="1.0" encoding="utf-8"?>
<sst xmlns="http://schemas.openxmlformats.org/spreadsheetml/2006/main" count="1386" uniqueCount="556">
  <si>
    <t>Auction Name</t>
  </si>
  <si>
    <t>Report Name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</si>
  <si>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</si>
  <si>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</si>
  <si>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</si>
  <si>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</si>
  <si>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</si>
  <si>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</si>
  <si>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</si>
  <si>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</si>
  <si>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</si>
  <si>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</si>
  <si>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</si>
  <si>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Annual</t>
  </si>
  <si>
    <t>Income Statement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</si>
  <si>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</si>
  <si>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</si>
  <si>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</si>
  <si>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</si>
  <si>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</si>
  <si>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</si>
  <si>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</si>
  <si>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</si>
  <si>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</si>
  <si>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</si>
  <si>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</si>
  <si>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Revenue</t>
  </si>
  <si>
    <t xml:space="preserve"> </t>
  </si>
  <si>
    <t>Total Revenue</t>
  </si>
  <si>
    <t>Gross Margin</t>
  </si>
  <si>
    <t>EBITDAL</t>
  </si>
  <si>
    <t>EBITDA</t>
  </si>
  <si>
    <t>EBITDA %</t>
  </si>
  <si>
    <t>HEADCOUNT &amp; SALARY</t>
  </si>
  <si>
    <t>New Hires/Terms</t>
  </si>
  <si>
    <t>Merit Increase</t>
  </si>
  <si>
    <t>Name</t>
  </si>
  <si>
    <t>Position</t>
  </si>
  <si>
    <t xml:space="preserve">Start Mo. </t>
  </si>
  <si>
    <t xml:space="preserve">Term Mo. </t>
  </si>
  <si>
    <t>Hire Mo</t>
  </si>
  <si>
    <t>%</t>
  </si>
  <si>
    <t>Hourly Rate</t>
  </si>
  <si>
    <t>Start Mo.</t>
  </si>
  <si>
    <t>Term Mo.</t>
  </si>
  <si>
    <t>Budget</t>
  </si>
  <si>
    <t>Month</t>
  </si>
  <si>
    <t>ABC________________________</t>
  </si>
  <si>
    <t>Auction Broadcasting Company, LLC</t>
  </si>
  <si>
    <t>Income Statement and Forecast</t>
  </si>
  <si>
    <t>October</t>
  </si>
  <si>
    <t>VEHICLES CONSIGNED</t>
  </si>
  <si>
    <t>VEHICLES SOLD</t>
  </si>
  <si>
    <t xml:space="preserve">   VEHICLES SOLD %</t>
  </si>
  <si>
    <t>Cost of Goods Sold</t>
  </si>
  <si>
    <t>-</t>
  </si>
  <si>
    <t>Gross Margin %</t>
  </si>
  <si>
    <t>Operating Expenses</t>
  </si>
  <si>
    <t>Income from Operations</t>
  </si>
  <si>
    <t xml:space="preserve">   Income from Ops % of Revenue</t>
  </si>
  <si>
    <t>General &amp; Administrative</t>
  </si>
  <si>
    <t>Intercompany Allocation</t>
  </si>
  <si>
    <t>Interest Expense</t>
  </si>
  <si>
    <t>Intercompany Interest</t>
  </si>
  <si>
    <t>Depreciation and Amortization</t>
  </si>
  <si>
    <t>Facility Lease Expense</t>
  </si>
  <si>
    <t>=</t>
  </si>
  <si>
    <t>EBITDAL %</t>
  </si>
  <si>
    <t>Budget &amp; Forecast</t>
  </si>
  <si>
    <t>Workers Comp Wages:</t>
  </si>
  <si>
    <t>Clerical</t>
  </si>
  <si>
    <t>Sales</t>
  </si>
  <si>
    <t>ABC, LLC</t>
  </si>
  <si>
    <t>General &amp; Adminstrative</t>
  </si>
  <si>
    <t>Total Genaral and Administrative</t>
  </si>
  <si>
    <t>Sheet Protection password:  protect</t>
  </si>
  <si>
    <t>Budget checklist for annual updates</t>
  </si>
  <si>
    <t>Update formulas for sales volume in Monthly Volume Tab &amp; P&amp;L Tab.</t>
  </si>
  <si>
    <t>Update years</t>
  </si>
  <si>
    <t>Update weekly volumes formatting, dates, &amp; Holidays</t>
  </si>
  <si>
    <t>Update periods in capex tab</t>
  </si>
  <si>
    <t>Other (Income) Expense</t>
  </si>
  <si>
    <t>(Gain) Loss on Sale of Assets</t>
  </si>
  <si>
    <t>Orlando Investment (Increase) Decrease</t>
  </si>
  <si>
    <t>Net Income (Loss) Before Minority Interest</t>
  </si>
  <si>
    <t>Net Income (Loss)</t>
  </si>
  <si>
    <t>Verify Net Income with P&amp;L</t>
  </si>
  <si>
    <t>Go to Mas 90 GL/Utilities/GL Exchange</t>
  </si>
  <si>
    <t>Modify report to map to new saved CSV file</t>
  </si>
  <si>
    <t>Import File, take note of Inactive account errors</t>
  </si>
  <si>
    <t>After complete, run budget trend and compare Net Income with Budget</t>
  </si>
  <si>
    <t>If off, check totals by department to budget to pinpoint problem.</t>
  </si>
  <si>
    <t>Ensure it's set up to import CSV file and alternate format and correct budget fiscal year</t>
  </si>
  <si>
    <t>Overtime</t>
  </si>
  <si>
    <t>Payroll Taxes</t>
  </si>
  <si>
    <t>Benefits</t>
  </si>
  <si>
    <t>401k match</t>
  </si>
  <si>
    <t xml:space="preserve">Insurance </t>
  </si>
  <si>
    <t xml:space="preserve">Total Insurance </t>
  </si>
  <si>
    <t>Taxes</t>
  </si>
  <si>
    <t>Total Taxes</t>
  </si>
  <si>
    <t>Total Maintenance</t>
  </si>
  <si>
    <t>Professional Fees</t>
  </si>
  <si>
    <t>Total Professional Fees</t>
  </si>
  <si>
    <t>Utilities</t>
  </si>
  <si>
    <t>Real Estate Taxes</t>
  </si>
  <si>
    <t>Non Controlling Interest</t>
  </si>
  <si>
    <t>2015 Months</t>
  </si>
  <si>
    <t>Consolidated Equity Method (Income) Loss</t>
  </si>
  <si>
    <t>For the Years ended September 2014-2018</t>
  </si>
  <si>
    <t>Periods</t>
  </si>
  <si>
    <t>Current FY (Budget)</t>
  </si>
  <si>
    <t>TTM</t>
  </si>
  <si>
    <t>Forecast Yr 1</t>
  </si>
  <si>
    <t>Forecast Yr 2</t>
  </si>
  <si>
    <t>Forecast Yr 3</t>
  </si>
  <si>
    <t>Forecast Yr 4</t>
  </si>
  <si>
    <t>Copy entire worksheet and past values in a new workbook</t>
  </si>
  <si>
    <t>Save file as CSV</t>
  </si>
  <si>
    <t>Delete column index row at top and sort spreadsheet by total column and eliminate all rows with no amounts</t>
  </si>
  <si>
    <t>2017 Weeks in Month</t>
  </si>
  <si>
    <t>2016 Months</t>
  </si>
  <si>
    <t>2018 Weeks in Month</t>
  </si>
  <si>
    <t>FY 2017 Budget</t>
  </si>
  <si>
    <t>IT</t>
  </si>
  <si>
    <t>Year 1</t>
  </si>
  <si>
    <t>Quality Control</t>
  </si>
  <si>
    <t>Manager</t>
  </si>
  <si>
    <t>Total Quality Control</t>
  </si>
  <si>
    <t>Compliance</t>
  </si>
  <si>
    <t>Total Compliance</t>
  </si>
  <si>
    <t>Engineering</t>
  </si>
  <si>
    <t>Total Engineering</t>
  </si>
  <si>
    <t>Shipping/Receiving</t>
  </si>
  <si>
    <t>Total Shippking/Receiving</t>
  </si>
  <si>
    <t>Facilities</t>
  </si>
  <si>
    <t>Total Facilities</t>
  </si>
  <si>
    <t>Pick &amp; Pack</t>
  </si>
  <si>
    <t>Total Pick &amp; Pack</t>
  </si>
  <si>
    <t>Administration</t>
  </si>
  <si>
    <t>Business Development</t>
  </si>
  <si>
    <t>Total Business Development</t>
  </si>
  <si>
    <t>Total IT</t>
  </si>
  <si>
    <t>Accounting/Finance</t>
  </si>
  <si>
    <t>Total Accounting/Finance</t>
  </si>
  <si>
    <t>HR</t>
  </si>
  <si>
    <t>Total HR</t>
  </si>
  <si>
    <t>Total Administration</t>
  </si>
  <si>
    <t>Profroma</t>
  </si>
  <si>
    <t>Proforma</t>
  </si>
  <si>
    <t>Climate areas</t>
  </si>
  <si>
    <t xml:space="preserve">  Ambient</t>
  </si>
  <si>
    <t xml:space="preserve">  2-8°C</t>
  </si>
  <si>
    <t xml:space="preserve">  Ultra Cold</t>
  </si>
  <si>
    <t>Building Sq. Ft.</t>
  </si>
  <si>
    <t xml:space="preserve">    Total</t>
  </si>
  <si>
    <t>Month 1 Revenue per Pallet</t>
  </si>
  <si>
    <t>Annual Lease Rate/ sq ft</t>
  </si>
  <si>
    <t>Lease up rate</t>
  </si>
  <si>
    <t>Pallet usage</t>
  </si>
  <si>
    <t xml:space="preserve">  -20°C</t>
  </si>
  <si>
    <t>Lease Revenue</t>
  </si>
  <si>
    <t>Total Lease Revenue</t>
  </si>
  <si>
    <t>Year 2</t>
  </si>
  <si>
    <t>Year 3</t>
  </si>
  <si>
    <t>Year 4</t>
  </si>
  <si>
    <t>Year 5</t>
  </si>
  <si>
    <t>Revenue increase</t>
  </si>
  <si>
    <t>Staff</t>
  </si>
  <si>
    <t>Engineer</t>
  </si>
  <si>
    <t>Controller</t>
  </si>
  <si>
    <t>A/P &amp; Billing</t>
  </si>
  <si>
    <t>Payroll</t>
  </si>
  <si>
    <t>Finance Manager</t>
  </si>
  <si>
    <t>General Manager</t>
  </si>
  <si>
    <t>Security Supervisor</t>
  </si>
  <si>
    <t>TOTAL ADMINISTRATIVE</t>
  </si>
  <si>
    <t>Administrative</t>
  </si>
  <si>
    <t>W/C Code</t>
  </si>
  <si>
    <t>W/C</t>
  </si>
  <si>
    <t>Cold Storage Warehouse</t>
  </si>
  <si>
    <t>Wages</t>
  </si>
  <si>
    <t>See Headcount tab</t>
  </si>
  <si>
    <t xml:space="preserve">  FICA</t>
  </si>
  <si>
    <t xml:space="preserve">  FUTA/SUI</t>
  </si>
  <si>
    <t xml:space="preserve">  Health Insurance</t>
  </si>
  <si>
    <t>Family coverage</t>
  </si>
  <si>
    <t xml:space="preserve">  Employee contr</t>
  </si>
  <si>
    <t xml:space="preserve">  Employer costs</t>
  </si>
  <si>
    <t xml:space="preserve">  Annual increase</t>
  </si>
  <si>
    <t xml:space="preserve">  Partcipation rate</t>
  </si>
  <si>
    <t xml:space="preserve">  Warehouse</t>
  </si>
  <si>
    <t xml:space="preserve">  Office</t>
  </si>
  <si>
    <t xml:space="preserve">     Warehouse</t>
  </si>
  <si>
    <t xml:space="preserve">     Office</t>
  </si>
  <si>
    <t xml:space="preserve">Contract Services </t>
  </si>
  <si>
    <t xml:space="preserve">Total Contract Servcies </t>
  </si>
  <si>
    <t>Rate per $100</t>
  </si>
  <si>
    <t>Insurance</t>
  </si>
  <si>
    <t xml:space="preserve">  Workers Comp</t>
  </si>
  <si>
    <t xml:space="preserve">    8291</t>
  </si>
  <si>
    <t xml:space="preserve">    8742</t>
  </si>
  <si>
    <t xml:space="preserve">    8810</t>
  </si>
  <si>
    <t xml:space="preserve">    9015</t>
  </si>
  <si>
    <t>Real estate taxes</t>
  </si>
  <si>
    <t xml:space="preserve">   Assessed value</t>
  </si>
  <si>
    <t xml:space="preserve">   Rate (at 805)</t>
  </si>
  <si>
    <t xml:space="preserve">  Electric</t>
  </si>
  <si>
    <t>Professional Services</t>
  </si>
  <si>
    <t xml:space="preserve">  Legal</t>
  </si>
  <si>
    <t xml:space="preserve">  Accounting</t>
  </si>
  <si>
    <t xml:space="preserve">  Consulting</t>
  </si>
  <si>
    <t xml:space="preserve">  Computer (cloud)</t>
  </si>
  <si>
    <t>Monthly</t>
  </si>
  <si>
    <t>Food service, month</t>
  </si>
  <si>
    <t>Uniforms, month</t>
  </si>
  <si>
    <t>Total Utilities</t>
  </si>
  <si>
    <t xml:space="preserve">  Water/sewer</t>
  </si>
  <si>
    <t>Contract Services</t>
  </si>
  <si>
    <t xml:space="preserve">  Security</t>
  </si>
  <si>
    <t xml:space="preserve">  Landscaping</t>
  </si>
  <si>
    <t xml:space="preserve">  Pest Control</t>
  </si>
  <si>
    <t xml:space="preserve">  Janitorial</t>
  </si>
  <si>
    <t>Warehouse Personnel</t>
  </si>
  <si>
    <t>Total Warehouse Personnel</t>
  </si>
  <si>
    <t>Repair &amp; Maintenance</t>
  </si>
  <si>
    <t xml:space="preserve">  Building Maintenance</t>
  </si>
  <si>
    <t xml:space="preserve">  Equipment Maintenance</t>
  </si>
  <si>
    <t xml:space="preserve">  Building</t>
  </si>
  <si>
    <t xml:space="preserve">  Equipment</t>
  </si>
  <si>
    <t xml:space="preserve">  Vehicle</t>
  </si>
  <si>
    <t xml:space="preserve">  Vehicle Maintenance</t>
  </si>
  <si>
    <t xml:space="preserve">  Travel</t>
  </si>
  <si>
    <t xml:space="preserve">  Telephone</t>
  </si>
  <si>
    <t xml:space="preserve">  Contract Labor - Window Cleaning</t>
  </si>
  <si>
    <t xml:space="preserve">  Window Cleaning</t>
  </si>
  <si>
    <t xml:space="preserve">  Internet</t>
  </si>
  <si>
    <t xml:space="preserve">  Equipment Rental</t>
  </si>
  <si>
    <t>Admin Expenses</t>
  </si>
  <si>
    <t xml:space="preserve">  Office Supplies</t>
  </si>
  <si>
    <t xml:space="preserve">  Subscriptions</t>
  </si>
  <si>
    <t xml:space="preserve">  Entertainment</t>
  </si>
  <si>
    <t xml:space="preserve">  Miscellaneous</t>
  </si>
  <si>
    <t xml:space="preserve">  Payroll Processing</t>
  </si>
  <si>
    <t xml:space="preserve">  Postage</t>
  </si>
  <si>
    <t xml:space="preserve">  Interest</t>
  </si>
  <si>
    <t>Other Expense</t>
  </si>
  <si>
    <t>Total Other Expense</t>
  </si>
  <si>
    <t xml:space="preserve">  Bank Fees</t>
  </si>
  <si>
    <t>Real Estate Lease</t>
  </si>
  <si>
    <t>Acres</t>
  </si>
  <si>
    <t>Office Personnel</t>
  </si>
  <si>
    <t>EXPENSES</t>
  </si>
  <si>
    <t>Total Office Personnel</t>
  </si>
  <si>
    <t>TOTAL EXPENSES</t>
  </si>
  <si>
    <t>REVENUES</t>
  </si>
  <si>
    <t>Operating Assumptions</t>
  </si>
  <si>
    <t>Increase</t>
  </si>
  <si>
    <t>n/a - based on payroll</t>
  </si>
  <si>
    <t>Security</t>
  </si>
  <si>
    <t xml:space="preserve">  Professional Fees - Legal</t>
  </si>
  <si>
    <t xml:space="preserve">  Professional Fees - Accounting</t>
  </si>
  <si>
    <t xml:space="preserve">  Professional Fees - Consulting</t>
  </si>
  <si>
    <t xml:space="preserve">  Professional Fees - Computer</t>
  </si>
  <si>
    <t xml:space="preserve">  Wages</t>
  </si>
  <si>
    <t xml:space="preserve">  Overtime</t>
  </si>
  <si>
    <t xml:space="preserve">  Bonus</t>
  </si>
  <si>
    <t xml:space="preserve">  Payroll Taxes</t>
  </si>
  <si>
    <t xml:space="preserve">  401k Match</t>
  </si>
  <si>
    <t xml:space="preserve">  Food Service</t>
  </si>
  <si>
    <t>NET INCOME before Depr</t>
  </si>
  <si>
    <t>Reception</t>
  </si>
  <si>
    <t>Supervisor</t>
  </si>
  <si>
    <t xml:space="preserve">  Uniforms</t>
  </si>
  <si>
    <t xml:space="preserve">  Food service</t>
  </si>
  <si>
    <t>STORAGE FOR COMMERCIAL PRODUCTS</t>
  </si>
  <si>
    <t>Rate/sf</t>
  </si>
  <si>
    <t>n/a</t>
  </si>
  <si>
    <t>Assistant</t>
  </si>
  <si>
    <t>LEASE UP RATES</t>
  </si>
  <si>
    <t>Adams Beverage, rent</t>
  </si>
  <si>
    <t>Adams Beverage, expenses</t>
  </si>
  <si>
    <t>Manager Bonus</t>
  </si>
  <si>
    <t>of salary</t>
  </si>
  <si>
    <t>Asst Mangaer</t>
  </si>
  <si>
    <t>8 months in Year 1 only</t>
  </si>
  <si>
    <t xml:space="preserve">  Warehouse Temp</t>
  </si>
  <si>
    <t>Technician #1</t>
  </si>
  <si>
    <t>Technician #2</t>
  </si>
  <si>
    <t>Technician #3</t>
  </si>
  <si>
    <t>Technician #4</t>
  </si>
  <si>
    <t>Technician #5</t>
  </si>
  <si>
    <t>Technician #6</t>
  </si>
  <si>
    <t>Technician #7</t>
  </si>
  <si>
    <t>Technician #8</t>
  </si>
  <si>
    <t>Technician #9</t>
  </si>
  <si>
    <t>Technician #10</t>
  </si>
  <si>
    <t>Technician #11</t>
  </si>
  <si>
    <t>Technician #12</t>
  </si>
  <si>
    <t>Technician #13</t>
  </si>
  <si>
    <t>Technician #14</t>
  </si>
  <si>
    <t>Technician #15</t>
  </si>
  <si>
    <t>Technician #16</t>
  </si>
  <si>
    <t>Technician #17</t>
  </si>
  <si>
    <t>Technician #18</t>
  </si>
  <si>
    <t>Technician #19</t>
  </si>
  <si>
    <t>Technician #20</t>
  </si>
  <si>
    <t>Technician #21</t>
  </si>
  <si>
    <t>Technician #22</t>
  </si>
  <si>
    <t>Technician #23</t>
  </si>
  <si>
    <t>Shipping/Receiving #1</t>
  </si>
  <si>
    <t>Shipping/Receiving #2</t>
  </si>
  <si>
    <t>Shipping/Receiving #3</t>
  </si>
  <si>
    <t>Shipping/Receiving #4</t>
  </si>
  <si>
    <t>Shipping/Receiving #5</t>
  </si>
  <si>
    <t>Shipping/Receiving #6</t>
  </si>
  <si>
    <t>Shipping/Receiving #7</t>
  </si>
  <si>
    <t>Shipping/Receiving #8</t>
  </si>
  <si>
    <t>Shipping/Receiving #9</t>
  </si>
  <si>
    <t>Shipping/Receiving #10</t>
  </si>
  <si>
    <t>Shipping/Receiving #11</t>
  </si>
  <si>
    <t>Shipping/Receiving #12</t>
  </si>
  <si>
    <t>Shipping/Receiving #13</t>
  </si>
  <si>
    <t>Tech Services #1</t>
  </si>
  <si>
    <t>Tech Services #2</t>
  </si>
  <si>
    <t>Tech Services #3</t>
  </si>
  <si>
    <t>Tech Services #4</t>
  </si>
  <si>
    <t>Tech Services #5</t>
  </si>
  <si>
    <t>Tech Services #6</t>
  </si>
  <si>
    <t>Tech Services #7</t>
  </si>
  <si>
    <t>Tech Services #8</t>
  </si>
  <si>
    <t>Pick &amp; Pack - Ambient #1</t>
  </si>
  <si>
    <t>Pick &amp; Pack - Ambient #2</t>
  </si>
  <si>
    <t>Pick &amp; Pack - Ambient #3</t>
  </si>
  <si>
    <t>Pick &amp; Pack - Ambient #4</t>
  </si>
  <si>
    <t>Pick &amp; Pack - Ambient #5</t>
  </si>
  <si>
    <t>Pick &amp; Pack - Ambient #6</t>
  </si>
  <si>
    <t>Pick &amp; Pack - Ambient #7</t>
  </si>
  <si>
    <t>Pick &amp; Pack - Ambient #8</t>
  </si>
  <si>
    <t>Pick &amp; Pack - Ambient #9</t>
  </si>
  <si>
    <t>Pick &amp; Pack - Ambient #10</t>
  </si>
  <si>
    <t>Pick &amp; Pack - Ambient #11</t>
  </si>
  <si>
    <t>Pick &amp; Pack - Ambient #12</t>
  </si>
  <si>
    <t>Pick &amp; Pack - 2-8°C #1</t>
  </si>
  <si>
    <t>Pick &amp; Pack - 2-8°C #2</t>
  </si>
  <si>
    <t>Pick &amp; Pack - 2-8°C #3</t>
  </si>
  <si>
    <t>Pick &amp; Pack - 2-8°C #4</t>
  </si>
  <si>
    <t>Pick &amp; Pack - 2-8°C #5</t>
  </si>
  <si>
    <t>Pick &amp; Pack - 2-8°C #6</t>
  </si>
  <si>
    <t>Pick &amp; Pack - 2-8°C #7</t>
  </si>
  <si>
    <t>Pick &amp; Pack - 2-8°C #8</t>
  </si>
  <si>
    <t>Pick &amp; Pack - 2-8°C #9</t>
  </si>
  <si>
    <t>Pick &amp; Pack - 2-8°C #10</t>
  </si>
  <si>
    <t>Pick &amp; Pack - (20°)/Ultracold #1</t>
  </si>
  <si>
    <t>Pick &amp; Pack - (20°)/Ultracold #2</t>
  </si>
  <si>
    <t>Pick &amp; Pack - (20°)/Ultracold #3</t>
  </si>
  <si>
    <t>Pick &amp; Pack - (20°)/Ultracold #4</t>
  </si>
  <si>
    <t>Pick &amp; Pack - (20°)/Ultracold #5</t>
  </si>
  <si>
    <t>Pick &amp; Pack - 2-8°C #11</t>
  </si>
  <si>
    <t>Pick &amp; Pack - 2-8°C #12</t>
  </si>
  <si>
    <t>Pick &amp; Pack - 2-8°C #13</t>
  </si>
  <si>
    <t>Pick &amp; Pack - 2-8°C #14</t>
  </si>
  <si>
    <t>Pick &amp; Pack - 2-8°C #15</t>
  </si>
  <si>
    <t>Pick &amp; Pack - 2-8°C #16</t>
  </si>
  <si>
    <t>Pick &amp; Pack - 2-8°C #17</t>
  </si>
  <si>
    <t>Pick &amp; Pack - 2-8°C #18</t>
  </si>
  <si>
    <t>Pick &amp; Pack - 2-8°C #19</t>
  </si>
  <si>
    <t>Pick &amp; Pack - 2-8°C #20</t>
  </si>
  <si>
    <t>Pick &amp; Pack - 2-8°C #21</t>
  </si>
  <si>
    <t>Pick &amp; Pack - 2-8°C #22</t>
  </si>
  <si>
    <t>Pick &amp; Pack - (20°)/Ultracold #6</t>
  </si>
  <si>
    <t>Pick &amp; Pack - (20°)/Ultracold #7</t>
  </si>
  <si>
    <t>Pick &amp; Pack - (20°)/Ultracold #8</t>
  </si>
  <si>
    <t>Pick &amp; Pack - 2-8°C #23</t>
  </si>
  <si>
    <t>Pick &amp; Pack - 2-8°C #24</t>
  </si>
  <si>
    <t>Pick &amp; Pack - 2-8°C #25</t>
  </si>
  <si>
    <t>Customer Service #1</t>
  </si>
  <si>
    <t>Customer Service #2</t>
  </si>
  <si>
    <t>Customer Service #3</t>
  </si>
  <si>
    <t>Customer Service #4</t>
  </si>
  <si>
    <t>Customer Service #5</t>
  </si>
  <si>
    <t>Customer Service #6</t>
  </si>
  <si>
    <t>Customer Service #7</t>
  </si>
  <si>
    <t>Analyst #1</t>
  </si>
  <si>
    <t>Analyst #2</t>
  </si>
  <si>
    <t>Analyst #3</t>
  </si>
  <si>
    <t>Analyst #4</t>
  </si>
  <si>
    <t>Analyst #5</t>
  </si>
  <si>
    <t>Analyst #6</t>
  </si>
  <si>
    <t>Benefits Admin</t>
  </si>
  <si>
    <t>Administration Asst #1</t>
  </si>
  <si>
    <t>Administration Asst #2</t>
  </si>
  <si>
    <t>Administration Asst #3</t>
  </si>
  <si>
    <t>Administration Asst #4</t>
  </si>
  <si>
    <t>COMMERCIAL STORAGE</t>
  </si>
  <si>
    <t xml:space="preserve">    2-8°C</t>
  </si>
  <si>
    <t xml:space="preserve">    -20°C</t>
  </si>
  <si>
    <t xml:space="preserve">    Ultra Cold</t>
  </si>
  <si>
    <t>Pick &amp; Pack #1</t>
  </si>
  <si>
    <t>Pick &amp; Pack #2</t>
  </si>
  <si>
    <t>Net Operating Income %</t>
  </si>
  <si>
    <t xml:space="preserve">  Stormwater</t>
  </si>
  <si>
    <t xml:space="preserve">  Gas, diesel</t>
  </si>
  <si>
    <t>Marketing</t>
  </si>
  <si>
    <t xml:space="preserve">  Marketing</t>
  </si>
  <si>
    <t xml:space="preserve">  Travel &amp; Entertainment</t>
  </si>
  <si>
    <t xml:space="preserve">  Real Estate Taxes</t>
  </si>
  <si>
    <t xml:space="preserve">  Diesel</t>
  </si>
  <si>
    <t>Total Marketing</t>
  </si>
  <si>
    <t>Facilities Manager</t>
  </si>
  <si>
    <t>Maintenance Manager</t>
  </si>
  <si>
    <t xml:space="preserve">  Office Supplies and Expense</t>
  </si>
  <si>
    <t>Incl audit</t>
  </si>
  <si>
    <t xml:space="preserve">  Contract Labor - Warehouse temp</t>
  </si>
  <si>
    <t xml:space="preserve">  Charitable donations</t>
  </si>
  <si>
    <t xml:space="preserve">  Charitiable donations</t>
  </si>
  <si>
    <t>3-10K gal tanks and 1 285 gal tank for the fire pump</t>
  </si>
  <si>
    <t>.</t>
  </si>
  <si>
    <t>Commssions</t>
  </si>
  <si>
    <t xml:space="preserve">  Commissions</t>
  </si>
  <si>
    <t xml:space="preserve">  Management Fee</t>
  </si>
  <si>
    <t>Management Fee</t>
  </si>
  <si>
    <t xml:space="preserve">  Management fee</t>
  </si>
  <si>
    <t>of revenue</t>
  </si>
  <si>
    <t xml:space="preserve">  Management</t>
  </si>
  <si>
    <t xml:space="preserve">  CRT</t>
  </si>
  <si>
    <t>General Counsel</t>
  </si>
  <si>
    <t>Palletts/ cu ft</t>
  </si>
  <si>
    <t xml:space="preserve">  Ultra Cold (freezers) (cu ft)</t>
  </si>
  <si>
    <t xml:space="preserve">    CRT</t>
  </si>
  <si>
    <t>Palletts/ Cu Ft</t>
  </si>
  <si>
    <t xml:space="preserve">  Ultra Cold (cu ft)</t>
  </si>
  <si>
    <t>Alcami</t>
  </si>
  <si>
    <t>Other</t>
  </si>
  <si>
    <t>Cost</t>
  </si>
  <si>
    <t>Pallets</t>
  </si>
  <si>
    <t xml:space="preserve">  Flex space</t>
  </si>
  <si>
    <t xml:space="preserve">    Flex space</t>
  </si>
  <si>
    <t xml:space="preserve">  Auto expense</t>
  </si>
  <si>
    <t>SERVICE FEES</t>
  </si>
  <si>
    <t>Inbound fee</t>
  </si>
  <si>
    <t>Outbound fee</t>
  </si>
  <si>
    <t>Annual turn</t>
  </si>
  <si>
    <t>per item</t>
  </si>
  <si>
    <t>Items per freezer</t>
  </si>
  <si>
    <t>Storage Fees</t>
  </si>
  <si>
    <t>Service Fees</t>
  </si>
  <si>
    <t xml:space="preserve">  Inbound/outbound</t>
  </si>
  <si>
    <t>Total Storage Fees</t>
  </si>
  <si>
    <t xml:space="preserve">  Total Service Fees</t>
  </si>
  <si>
    <t xml:space="preserve">  Total Storage Fees</t>
  </si>
  <si>
    <t xml:space="preserve">    Total Service Fees</t>
  </si>
  <si>
    <t xml:space="preserve">     Straight-line</t>
  </si>
  <si>
    <t>month</t>
  </si>
  <si>
    <t>Items per cu ft</t>
  </si>
  <si>
    <t>Executive</t>
  </si>
  <si>
    <t>Total Executive</t>
  </si>
  <si>
    <t>Owner</t>
  </si>
  <si>
    <t>CEO</t>
  </si>
  <si>
    <t>Current cost and estimated participation rate based on MD 25 years benefits experience</t>
  </si>
  <si>
    <t>Expected plan design</t>
  </si>
  <si>
    <t>Estimate</t>
  </si>
  <si>
    <t>Estimate based on SU experience</t>
  </si>
  <si>
    <t>Based on known NC rates</t>
  </si>
  <si>
    <t>Based on 805, increased by 10x based on space and ILM will be much more efficient</t>
  </si>
  <si>
    <t>Estimate for audits</t>
  </si>
  <si>
    <t>Estimate based on current activity and increased for additional personnel</t>
  </si>
  <si>
    <t>Known for forklift lease and estimate for copiers</t>
  </si>
  <si>
    <t>Estimate based on MD payroll experience</t>
  </si>
  <si>
    <t>Management determination</t>
  </si>
  <si>
    <t>Management Agreement</t>
  </si>
  <si>
    <t>Known</t>
  </si>
  <si>
    <t>Steve Uebele has years of experience operating pharma cold storage facilities</t>
  </si>
  <si>
    <t>Known and expected</t>
  </si>
  <si>
    <t>Estimated</t>
  </si>
  <si>
    <t>Estimate based 805 vendor</t>
  </si>
  <si>
    <t xml:space="preserve">  Avg commission</t>
  </si>
  <si>
    <t xml:space="preserve">  Average commission</t>
  </si>
  <si>
    <t>Based on commission % and portion of space filled by commissioned personnel</t>
  </si>
  <si>
    <t>Based on 805 rates (improvements only - land, most site improvements are exempt)</t>
  </si>
  <si>
    <t xml:space="preserve">  Ultra Cold (freezers)</t>
  </si>
  <si>
    <t>Pallet/CuF usage</t>
  </si>
  <si>
    <t>Items stored</t>
  </si>
  <si>
    <t>2024</t>
  </si>
  <si>
    <t>2025</t>
  </si>
  <si>
    <t>2026</t>
  </si>
  <si>
    <t>2027</t>
  </si>
  <si>
    <t>2028</t>
  </si>
  <si>
    <t>FRONTIER - 805 N. 23rd Street</t>
  </si>
  <si>
    <t>FRONTIER - ILM Phase 1</t>
  </si>
  <si>
    <t xml:space="preserve">  Ground Lease (Airport)</t>
  </si>
  <si>
    <t>Management Fees</t>
  </si>
  <si>
    <t xml:space="preserve">  Phase 1</t>
  </si>
  <si>
    <t xml:space="preserve">  805 N. 23rd</t>
  </si>
  <si>
    <t>CIL Management Group</t>
  </si>
  <si>
    <t>Phase 1</t>
  </si>
  <si>
    <t>805 N. 23rd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</si>
  <si>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</si>
  <si>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</si>
  <si>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</si>
  <si>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</si>
  <si>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</si>
  <si>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</si>
  <si>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</si>
  <si>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</si>
  <si>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</si>
  <si>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</si>
  <si>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</si>
  <si>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</si>
  <si>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  Operations - Phase 1</t>
  </si>
  <si>
    <t xml:space="preserve">  Operations - 805</t>
  </si>
  <si>
    <t xml:space="preserve">  Admin allocation</t>
  </si>
  <si>
    <t xml:space="preserve">  Admin - Phase1</t>
  </si>
  <si>
    <t>Total Exempt</t>
  </si>
  <si>
    <t>Admin Personnel</t>
  </si>
  <si>
    <t xml:space="preserve">  Cailbration</t>
  </si>
  <si>
    <t xml:space="preserve">  Calibration</t>
  </si>
  <si>
    <t>See CIL Mgmt Assumptions</t>
  </si>
  <si>
    <t xml:space="preserve">  Workers comp</t>
  </si>
  <si>
    <t>Auto allowance</t>
  </si>
  <si>
    <t xml:space="preserve">  Warehouse Temp Labor</t>
  </si>
  <si>
    <t xml:space="preserve">  Computer</t>
  </si>
  <si>
    <t xml:space="preserve">     ILM Phase 1</t>
  </si>
  <si>
    <t xml:space="preserve">     805 N. 23rd St.</t>
  </si>
  <si>
    <t>Actual</t>
  </si>
  <si>
    <t>Total Management Revenue</t>
  </si>
  <si>
    <t>CIL MANAGEMENT GROUP</t>
  </si>
  <si>
    <t>TOTAL OPERATIONS - ILM Phase 1</t>
  </si>
  <si>
    <t>TOTAL OPERATIONS - 805 N. 23rd Sttreet</t>
  </si>
  <si>
    <t>Operations - ILM Phase 1</t>
  </si>
  <si>
    <t>Operations - 805 N. 23rd Street</t>
  </si>
  <si>
    <t xml:space="preserve">  Charitable Contributions</t>
  </si>
  <si>
    <t xml:space="preserve">  Rental rate</t>
  </si>
  <si>
    <t xml:space="preserve">  Investment</t>
  </si>
  <si>
    <t xml:space="preserve">  Monthly rent</t>
  </si>
  <si>
    <t xml:space="preserve">  Warehouse liability</t>
  </si>
  <si>
    <t xml:space="preserve">  D&amp;O</t>
  </si>
  <si>
    <t xml:space="preserve">  Umbrella</t>
  </si>
  <si>
    <t xml:space="preserve">  Terrorism</t>
  </si>
  <si>
    <t>Actual * 5 for increase in exposure</t>
  </si>
  <si>
    <t>805 actual *100 for increased stored product</t>
  </si>
  <si>
    <t xml:space="preserve">  P&amp;C/GL</t>
  </si>
  <si>
    <t xml:space="preserve">  Property &amp; casualty/GL</t>
  </si>
  <si>
    <t>Quote from Hub *1.05 for annual increase</t>
  </si>
  <si>
    <t>805 actual *10</t>
  </si>
  <si>
    <t>805 actual *15</t>
  </si>
  <si>
    <t xml:space="preserve">  Ground - Landside</t>
  </si>
  <si>
    <t xml:space="preserve">  Ground - Airside</t>
  </si>
  <si>
    <t xml:space="preserve">  Improvements &amp; FFE</t>
  </si>
  <si>
    <t>Actual - straightline</t>
  </si>
  <si>
    <t xml:space="preserve">  Facility Lease</t>
  </si>
  <si>
    <t xml:space="preserve">     Cost</t>
  </si>
  <si>
    <t xml:space="preserve">     Yield</t>
  </si>
  <si>
    <t xml:space="preserve">     Monthy rent</t>
  </si>
  <si>
    <t xml:space="preserve">  Rent (owner-operated)</t>
  </si>
  <si>
    <t>owner-operated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</si>
</sst>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##.##%"/>
    <numFmt numFmtId="168" formatCode="[$-409]mmm\-yy;@"/>
    <numFmt numFmtId="169" formatCode="_(* #,##0.0_);_(* \(#,##0.0\);_(* &quot;-&quot;??_);_(@_)"/>
    <numFmt numFmtId="170" formatCode="_(* #,##0.000000_);_(* \(#,##0.000000\);_(* &quot;-&quot;??_);_(@_)"/>
    <numFmt numFmtId="171" formatCode="_(&quot;$&quot;* #,##0.000_);_(&quot;$&quot;* \(#,##0.000\);_(&quot;$&quot;* &quot;-&quot;??_);_(@_)"/>
    <numFmt numFmtId="172" formatCode="_(* #,##0.0_);_(* \(#,##0.0\);_(* &quot;-&quot;?_);_(@_)"/>
    <numFmt numFmtId="173" formatCode="0.0%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0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Times New Roman"/>
      <family val="1"/>
    </font>
    <font>
      <i/>
      <sz val="10"/>
      <color indexed="12"/>
      <name val="Times New Roman"/>
      <family val="1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12"/>
      <name val="Arial"/>
      <family val="2"/>
    </font>
    <font>
      <b/>
      <i/>
      <sz val="16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7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8" fillId="0" borderId="0" applyNumberFormat="0" applyBorder="0" applyAlignment="0"/>
    <xf numFmtId="0" fontId="19" fillId="0" borderId="0" applyNumberFormat="0" applyBorder="0" applyAlignment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12" fillId="0" borderId="0" xfId="10" quotePrefix="1" applyNumberFormat="1" applyAlignment="1">
      <alignment horizontal="center"/>
    </xf>
    <xf numFmtId="0" fontId="12" fillId="0" borderId="0" xfId="10" applyNumberFormat="1" applyBorder="1" applyAlignment="1">
      <alignment horizontal="centerContinuous"/>
    </xf>
    <xf numFmtId="0" fontId="9" fillId="0" borderId="0" xfId="7" applyNumberFormat="1"/>
    <xf numFmtId="0" fontId="13" fillId="0" borderId="0" xfId="11" applyNumberFormat="1" applyBorder="1" applyAlignment="1">
      <alignment horizontal="centerContinuous"/>
    </xf>
    <xf numFmtId="0" fontId="14" fillId="0" borderId="0" xfId="12" applyNumberFormat="1" applyBorder="1" applyAlignment="1">
      <alignment horizontal="centerContinuous"/>
    </xf>
    <xf numFmtId="0" fontId="20" fillId="0" borderId="0" xfId="7" applyNumberFormat="1" applyFont="1"/>
    <xf numFmtId="0" fontId="20" fillId="0" borderId="0" xfId="7" applyNumberFormat="1" applyFont="1" applyBorder="1"/>
    <xf numFmtId="0" fontId="9" fillId="0" borderId="0" xfId="7" applyNumberFormat="1" applyBorder="1"/>
    <xf numFmtId="0" fontId="21" fillId="0" borderId="0" xfId="7" applyNumberFormat="1" applyFont="1" applyBorder="1" applyAlignment="1">
      <alignment horizontal="center"/>
    </xf>
    <xf numFmtId="0" fontId="21" fillId="0" borderId="0" xfId="7" applyNumberFormat="1" applyFont="1" applyBorder="1"/>
    <xf numFmtId="0" fontId="9" fillId="0" borderId="0" xfId="7" applyBorder="1"/>
    <xf numFmtId="166" fontId="9" fillId="0" borderId="0" xfId="7" applyNumberFormat="1" applyBorder="1"/>
    <xf numFmtId="166" fontId="21" fillId="0" borderId="0" xfId="7" applyNumberFormat="1" applyFont="1" applyBorder="1"/>
    <xf numFmtId="0" fontId="15" fillId="0" borderId="0" xfId="13" quotePrefix="1" applyBorder="1" applyAlignment="1">
      <alignment horizontal="left"/>
    </xf>
    <xf numFmtId="166" fontId="22" fillId="0" borderId="0" xfId="13" applyNumberFormat="1" applyFont="1" applyBorder="1"/>
    <xf numFmtId="0" fontId="15" fillId="0" borderId="0" xfId="13" applyBorder="1"/>
    <xf numFmtId="0" fontId="16" fillId="0" borderId="0" xfId="14" quotePrefix="1" applyBorder="1" applyAlignment="1">
      <alignment horizontal="left"/>
    </xf>
    <xf numFmtId="167" fontId="23" fillId="0" borderId="0" xfId="14" applyNumberFormat="1" applyFont="1" applyBorder="1"/>
    <xf numFmtId="0" fontId="16" fillId="0" borderId="0" xfId="14" applyBorder="1"/>
    <xf numFmtId="0" fontId="9" fillId="0" borderId="0" xfId="7"/>
    <xf numFmtId="166" fontId="9" fillId="0" borderId="0" xfId="7" applyNumberFormat="1"/>
    <xf numFmtId="166" fontId="21" fillId="0" borderId="0" xfId="7" applyNumberFormat="1" applyFont="1"/>
    <xf numFmtId="0" fontId="17" fillId="0" borderId="0" xfId="15" quotePrefix="1" applyAlignment="1">
      <alignment horizontal="left"/>
    </xf>
    <xf numFmtId="166" fontId="24" fillId="0" borderId="0" xfId="15" applyNumberFormat="1" applyFont="1"/>
    <xf numFmtId="166" fontId="24" fillId="0" borderId="0" xfId="15" applyNumberFormat="1" applyFont="1" applyBorder="1"/>
    <xf numFmtId="0" fontId="17" fillId="0" borderId="0" xfId="15"/>
    <xf numFmtId="166" fontId="21" fillId="0" borderId="0" xfId="7" quotePrefix="1" applyNumberFormat="1" applyFont="1" applyAlignment="1">
      <alignment horizontal="fill"/>
    </xf>
    <xf numFmtId="166" fontId="21" fillId="0" borderId="0" xfId="7" quotePrefix="1" applyNumberFormat="1" applyFont="1" applyBorder="1" applyAlignment="1">
      <alignment horizontal="fill"/>
    </xf>
    <xf numFmtId="0" fontId="25" fillId="0" borderId="0" xfId="11" quotePrefix="1" applyFont="1" applyAlignment="1">
      <alignment horizontal="left"/>
    </xf>
    <xf numFmtId="166" fontId="26" fillId="0" borderId="0" xfId="11" applyNumberFormat="1" applyFont="1"/>
    <xf numFmtId="166" fontId="26" fillId="0" borderId="0" xfId="11" applyNumberFormat="1" applyFont="1" applyBorder="1"/>
    <xf numFmtId="0" fontId="25" fillId="0" borderId="0" xfId="11" applyFont="1"/>
    <xf numFmtId="0" fontId="19" fillId="0" borderId="0" xfId="17" quotePrefix="1" applyAlignment="1">
      <alignment horizontal="left"/>
    </xf>
    <xf numFmtId="167" fontId="27" fillId="0" borderId="0" xfId="17" applyNumberFormat="1" applyFont="1"/>
    <xf numFmtId="167" fontId="27" fillId="0" borderId="0" xfId="17" applyNumberFormat="1" applyFont="1" applyBorder="1"/>
    <xf numFmtId="0" fontId="19" fillId="0" borderId="0" xfId="17"/>
    <xf numFmtId="166" fontId="24" fillId="0" borderId="0" xfId="15" quotePrefix="1" applyNumberFormat="1" applyFont="1" applyAlignment="1">
      <alignment horizontal="fill"/>
    </xf>
    <xf numFmtId="166" fontId="24" fillId="0" borderId="0" xfId="15" quotePrefix="1" applyNumberFormat="1" applyFont="1" applyBorder="1" applyAlignment="1">
      <alignment horizontal="fill"/>
    </xf>
    <xf numFmtId="0" fontId="17" fillId="0" borderId="0" xfId="15" applyAlignment="1">
      <alignment horizontal="left"/>
    </xf>
    <xf numFmtId="0" fontId="10" fillId="0" borderId="0" xfId="8"/>
    <xf numFmtId="0" fontId="11" fillId="0" borderId="0" xfId="9"/>
    <xf numFmtId="166" fontId="28" fillId="0" borderId="0" xfId="9" applyNumberFormat="1" applyFont="1"/>
    <xf numFmtId="166" fontId="28" fillId="0" borderId="0" xfId="9" applyNumberFormat="1" applyFont="1" applyBorder="1"/>
    <xf numFmtId="0" fontId="13" fillId="0" borderId="0" xfId="11" applyNumberFormat="1" applyAlignment="1">
      <alignment horizontal="center"/>
    </xf>
    <xf numFmtId="0" fontId="14" fillId="0" borderId="0" xfId="12" applyNumberFormat="1" applyAlignment="1">
      <alignment horizontal="center"/>
    </xf>
    <xf numFmtId="168" fontId="21" fillId="0" borderId="1" xfId="7" applyNumberFormat="1" applyFont="1" applyBorder="1" applyAlignment="1">
      <alignment horizontal="center"/>
    </xf>
    <xf numFmtId="0" fontId="8" fillId="0" borderId="0" xfId="0" applyFont="1"/>
    <xf numFmtId="0" fontId="10" fillId="0" borderId="0" xfId="8" applyAlignment="1">
      <alignment horizontal="left"/>
    </xf>
    <xf numFmtId="0" fontId="29" fillId="0" borderId="0" xfId="10" applyNumberFormat="1" applyFont="1" applyBorder="1" applyAlignment="1">
      <alignment horizontal="centerContinuous"/>
    </xf>
    <xf numFmtId="166" fontId="30" fillId="0" borderId="0" xfId="7" applyNumberFormat="1" applyFont="1"/>
    <xf numFmtId="0" fontId="31" fillId="0" borderId="0" xfId="7" applyNumberFormat="1" applyFont="1"/>
    <xf numFmtId="0" fontId="34" fillId="0" borderId="0" xfId="0" applyFont="1"/>
    <xf numFmtId="0" fontId="34" fillId="0" borderId="0" xfId="0" applyFont="1" applyProtection="1">
      <protection locked="0"/>
    </xf>
    <xf numFmtId="0" fontId="35" fillId="0" borderId="0" xfId="0" applyFont="1"/>
    <xf numFmtId="0" fontId="36" fillId="0" borderId="0" xfId="0" applyFont="1"/>
    <xf numFmtId="9" fontId="34" fillId="0" borderId="0" xfId="4" applyFont="1" applyFill="1" applyBorder="1" applyProtection="1">
      <protection locked="0"/>
    </xf>
    <xf numFmtId="17" fontId="36" fillId="3" borderId="2" xfId="0" applyNumberFormat="1" applyFont="1" applyFill="1" applyBorder="1" applyAlignment="1">
      <alignment horizontal="center" wrapText="1"/>
    </xf>
    <xf numFmtId="17" fontId="36" fillId="3" borderId="3" xfId="0" applyNumberFormat="1" applyFont="1" applyFill="1" applyBorder="1" applyAlignment="1">
      <alignment horizontal="center" wrapText="1"/>
    </xf>
    <xf numFmtId="164" fontId="37" fillId="0" borderId="0" xfId="0" applyNumberFormat="1" applyFont="1" applyAlignment="1">
      <alignment horizontal="center" wrapText="1"/>
    </xf>
    <xf numFmtId="0" fontId="40" fillId="0" borderId="0" xfId="0" applyFont="1"/>
    <xf numFmtId="0" fontId="37" fillId="0" borderId="0" xfId="0" applyFont="1"/>
    <xf numFmtId="0" fontId="39" fillId="0" borderId="0" xfId="0" applyFont="1"/>
    <xf numFmtId="0" fontId="39" fillId="0" borderId="0" xfId="0" applyFont="1" applyProtection="1">
      <protection locked="0"/>
    </xf>
    <xf numFmtId="164" fontId="34" fillId="0" borderId="0" xfId="1" applyNumberFormat="1" applyFont="1" applyProtection="1">
      <protection locked="0"/>
    </xf>
    <xf numFmtId="41" fontId="39" fillId="2" borderId="0" xfId="1" applyNumberFormat="1" applyFont="1" applyFill="1" applyBorder="1" applyProtection="1">
      <protection locked="0"/>
    </xf>
    <xf numFmtId="41" fontId="39" fillId="2" borderId="0" xfId="1" applyNumberFormat="1" applyFont="1" applyFill="1" applyProtection="1">
      <protection locked="0"/>
    </xf>
    <xf numFmtId="0" fontId="39" fillId="0" borderId="0" xfId="0" quotePrefix="1" applyFont="1"/>
    <xf numFmtId="41" fontId="39" fillId="2" borderId="1" xfId="1" applyNumberFormat="1" applyFont="1" applyFill="1" applyBorder="1" applyProtection="1">
      <protection locked="0"/>
    </xf>
    <xf numFmtId="165" fontId="37" fillId="0" borderId="0" xfId="2" applyNumberFormat="1" applyFont="1" applyProtection="1"/>
    <xf numFmtId="41" fontId="37" fillId="0" borderId="0" xfId="2" applyNumberFormat="1" applyFont="1" applyProtection="1"/>
    <xf numFmtId="165" fontId="38" fillId="0" borderId="0" xfId="2" applyNumberFormat="1" applyFont="1" applyProtection="1"/>
    <xf numFmtId="41" fontId="37" fillId="0" borderId="0" xfId="2" applyNumberFormat="1" applyFont="1" applyProtection="1">
      <protection locked="0"/>
    </xf>
    <xf numFmtId="165" fontId="38" fillId="0" borderId="0" xfId="2" applyNumberFormat="1" applyFont="1" applyProtection="1">
      <protection locked="0"/>
    </xf>
    <xf numFmtId="6" fontId="37" fillId="0" borderId="0" xfId="0" applyNumberFormat="1" applyFont="1"/>
    <xf numFmtId="41" fontId="39" fillId="0" borderId="0" xfId="0" applyNumberFormat="1" applyFont="1" applyProtection="1">
      <protection locked="0"/>
    </xf>
    <xf numFmtId="6" fontId="39" fillId="0" borderId="0" xfId="0" applyNumberFormat="1" applyFont="1"/>
    <xf numFmtId="6" fontId="39" fillId="0" borderId="0" xfId="0" quotePrefix="1" applyNumberFormat="1" applyFont="1"/>
    <xf numFmtId="41" fontId="39" fillId="2" borderId="1" xfId="0" applyNumberFormat="1" applyFont="1" applyFill="1" applyBorder="1" applyProtection="1">
      <protection locked="0"/>
    </xf>
    <xf numFmtId="44" fontId="37" fillId="0" borderId="0" xfId="2" applyFont="1" applyProtection="1"/>
    <xf numFmtId="44" fontId="38" fillId="0" borderId="0" xfId="2" applyFont="1" applyProtection="1"/>
    <xf numFmtId="41" fontId="37" fillId="0" borderId="0" xfId="2" applyNumberFormat="1" applyFont="1" applyFill="1" applyProtection="1"/>
    <xf numFmtId="0" fontId="32" fillId="0" borderId="0" xfId="0" applyFont="1"/>
    <xf numFmtId="164" fontId="32" fillId="0" borderId="0" xfId="0" applyNumberFormat="1" applyFont="1" applyProtection="1">
      <protection locked="0"/>
    </xf>
    <xf numFmtId="0" fontId="32" fillId="0" borderId="0" xfId="0" applyFont="1" applyProtection="1">
      <protection locked="0"/>
    </xf>
    <xf numFmtId="41" fontId="37" fillId="0" borderId="4" xfId="2" applyNumberFormat="1" applyFont="1" applyFill="1" applyBorder="1" applyProtection="1"/>
    <xf numFmtId="164" fontId="39" fillId="0" borderId="0" xfId="0" applyNumberFormat="1" applyFont="1" applyProtection="1">
      <protection locked="0"/>
    </xf>
    <xf numFmtId="41" fontId="39" fillId="0" borderId="0" xfId="2" applyNumberFormat="1" applyFont="1" applyFill="1" applyBorder="1" applyProtection="1">
      <protection locked="0"/>
    </xf>
    <xf numFmtId="44" fontId="34" fillId="0" borderId="0" xfId="2" applyFont="1" applyProtection="1"/>
    <xf numFmtId="10" fontId="39" fillId="0" borderId="0" xfId="4" applyNumberFormat="1" applyFont="1" applyFill="1" applyBorder="1" applyAlignment="1" applyProtection="1">
      <alignment horizontal="center"/>
    </xf>
    <xf numFmtId="44" fontId="37" fillId="0" borderId="0" xfId="2" applyFont="1" applyFill="1" applyProtection="1"/>
    <xf numFmtId="44" fontId="37" fillId="0" borderId="0" xfId="2" applyFont="1" applyFill="1" applyBorder="1" applyProtection="1"/>
    <xf numFmtId="44" fontId="34" fillId="0" borderId="0" xfId="2" applyFont="1" applyBorder="1" applyProtection="1">
      <protection locked="0"/>
    </xf>
    <xf numFmtId="6" fontId="39" fillId="0" borderId="0" xfId="0" applyNumberFormat="1" applyFont="1" applyAlignment="1">
      <alignment horizontal="left"/>
    </xf>
    <xf numFmtId="41" fontId="37" fillId="0" borderId="0" xfId="1" applyNumberFormat="1" applyFont="1" applyFill="1" applyBorder="1" applyProtection="1"/>
    <xf numFmtId="0" fontId="38" fillId="0" borderId="0" xfId="0" applyFont="1"/>
    <xf numFmtId="41" fontId="39" fillId="0" borderId="0" xfId="1" applyNumberFormat="1" applyFont="1" applyFill="1" applyBorder="1" applyProtection="1">
      <protection locked="0"/>
    </xf>
    <xf numFmtId="41" fontId="37" fillId="0" borderId="4" xfId="1" applyNumberFormat="1" applyFont="1" applyFill="1" applyBorder="1" applyProtection="1"/>
    <xf numFmtId="0" fontId="34" fillId="0" borderId="0" xfId="0" applyFont="1" applyAlignment="1">
      <alignment horizontal="left" indent="1"/>
    </xf>
    <xf numFmtId="0" fontId="37" fillId="0" borderId="0" xfId="0" applyFont="1" applyProtection="1">
      <protection locked="0"/>
    </xf>
    <xf numFmtId="164" fontId="39" fillId="0" borderId="0" xfId="1" applyNumberFormat="1" applyFont="1" applyProtection="1">
      <protection locked="0"/>
    </xf>
    <xf numFmtId="164" fontId="37" fillId="0" borderId="0" xfId="1" applyNumberFormat="1" applyFont="1" applyAlignment="1" applyProtection="1">
      <alignment horizontal="center"/>
    </xf>
    <xf numFmtId="164" fontId="41" fillId="0" borderId="0" xfId="1" applyNumberFormat="1" applyFont="1" applyAlignment="1" applyProtection="1">
      <alignment horizontal="center"/>
      <protection locked="0"/>
    </xf>
    <xf numFmtId="164" fontId="39" fillId="0" borderId="1" xfId="1" applyNumberFormat="1" applyFont="1" applyBorder="1" applyProtection="1">
      <protection locked="0"/>
    </xf>
    <xf numFmtId="164" fontId="37" fillId="0" borderId="1" xfId="1" applyNumberFormat="1" applyFont="1" applyBorder="1" applyProtection="1"/>
    <xf numFmtId="164" fontId="37" fillId="0" borderId="1" xfId="1" applyNumberFormat="1" applyFont="1" applyBorder="1" applyAlignment="1" applyProtection="1">
      <alignment horizontal="right"/>
    </xf>
    <xf numFmtId="164" fontId="37" fillId="0" borderId="0" xfId="1" applyNumberFormat="1" applyFont="1" applyAlignment="1" applyProtection="1">
      <alignment horizontal="right"/>
    </xf>
    <xf numFmtId="0" fontId="34" fillId="0" borderId="8" xfId="0" applyFont="1" applyBorder="1"/>
    <xf numFmtId="0" fontId="34" fillId="2" borderId="0" xfId="0" applyFont="1" applyFill="1"/>
    <xf numFmtId="16" fontId="34" fillId="2" borderId="0" xfId="0" quotePrefix="1" applyNumberFormat="1" applyFont="1" applyFill="1"/>
    <xf numFmtId="0" fontId="34" fillId="2" borderId="0" xfId="0" quotePrefix="1" applyFont="1" applyFill="1"/>
    <xf numFmtId="1" fontId="34" fillId="2" borderId="0" xfId="0" applyNumberFormat="1" applyFont="1" applyFill="1"/>
    <xf numFmtId="0" fontId="36" fillId="3" borderId="2" xfId="0" applyFont="1" applyFill="1" applyBorder="1" applyAlignment="1">
      <alignment horizontal="center" wrapText="1"/>
    </xf>
    <xf numFmtId="0" fontId="37" fillId="0" borderId="0" xfId="1" applyNumberFormat="1" applyFont="1" applyAlignment="1" applyProtection="1">
      <alignment horizontal="center"/>
    </xf>
    <xf numFmtId="164" fontId="39" fillId="0" borderId="0" xfId="1" applyNumberFormat="1" applyFont="1" applyAlignment="1" applyProtection="1">
      <alignment horizontal="center"/>
      <protection locked="0"/>
    </xf>
    <xf numFmtId="164" fontId="39" fillId="0" borderId="0" xfId="1" applyNumberFormat="1" applyFont="1" applyAlignment="1" applyProtection="1">
      <alignment horizontal="center"/>
    </xf>
    <xf numFmtId="164" fontId="39" fillId="2" borderId="0" xfId="1" applyNumberFormat="1" applyFont="1" applyFill="1" applyProtection="1">
      <protection locked="0"/>
    </xf>
    <xf numFmtId="164" fontId="39" fillId="0" borderId="0" xfId="1" applyNumberFormat="1" applyFont="1" applyFill="1" applyAlignment="1" applyProtection="1">
      <alignment horizontal="center"/>
    </xf>
    <xf numFmtId="164" fontId="39" fillId="0" borderId="0" xfId="1" applyNumberFormat="1" applyFont="1" applyFill="1" applyAlignment="1" applyProtection="1">
      <alignment horizontal="right"/>
    </xf>
    <xf numFmtId="164" fontId="37" fillId="0" borderId="0" xfId="1" applyNumberFormat="1" applyFont="1" applyAlignment="1" applyProtection="1">
      <alignment horizontal="center"/>
      <protection locked="0"/>
    </xf>
    <xf numFmtId="164" fontId="39" fillId="0" borderId="0" xfId="1" applyNumberFormat="1" applyFont="1" applyBorder="1" applyProtection="1">
      <protection locked="0"/>
    </xf>
    <xf numFmtId="0" fontId="34" fillId="0" borderId="0" xfId="0" quotePrefix="1" applyFont="1"/>
    <xf numFmtId="0" fontId="5" fillId="0" borderId="0" xfId="0" applyFont="1"/>
    <xf numFmtId="164" fontId="0" fillId="0" borderId="0" xfId="1" applyNumberFormat="1" applyFont="1"/>
    <xf numFmtId="9" fontId="0" fillId="0" borderId="0" xfId="4" applyFont="1"/>
    <xf numFmtId="164" fontId="0" fillId="0" borderId="0" xfId="0" applyNumberFormat="1"/>
    <xf numFmtId="0" fontId="43" fillId="0" borderId="0" xfId="0" applyFont="1" applyAlignment="1">
      <alignment horizontal="center" wrapText="1"/>
    </xf>
    <xf numFmtId="164" fontId="43" fillId="0" borderId="0" xfId="1" applyNumberFormat="1" applyFont="1" applyAlignment="1">
      <alignment horizontal="center" wrapText="1"/>
    </xf>
    <xf numFmtId="165" fontId="0" fillId="0" borderId="0" xfId="2" applyNumberFormat="1" applyFont="1"/>
    <xf numFmtId="41" fontId="39" fillId="4" borderId="0" xfId="1" applyNumberFormat="1" applyFont="1" applyFill="1" applyBorder="1" applyProtection="1">
      <protection locked="0"/>
    </xf>
    <xf numFmtId="164" fontId="34" fillId="0" borderId="0" xfId="1" applyNumberFormat="1" applyFont="1" applyFill="1" applyProtection="1">
      <protection locked="0"/>
    </xf>
    <xf numFmtId="41" fontId="39" fillId="0" borderId="1" xfId="1" applyNumberFormat="1" applyFont="1" applyFill="1" applyBorder="1" applyProtection="1">
      <protection locked="0"/>
    </xf>
    <xf numFmtId="164" fontId="37" fillId="0" borderId="1" xfId="0" applyNumberFormat="1" applyFont="1" applyBorder="1" applyAlignment="1">
      <alignment horizontal="center" wrapText="1"/>
    </xf>
    <xf numFmtId="0" fontId="39" fillId="0" borderId="0" xfId="1" applyNumberFormat="1" applyFont="1" applyAlignment="1" applyProtection="1">
      <alignment horizontal="center"/>
      <protection locked="0"/>
    </xf>
    <xf numFmtId="164" fontId="37" fillId="0" borderId="0" xfId="1" applyNumberFormat="1" applyFont="1" applyFill="1" applyAlignment="1" applyProtection="1">
      <alignment horizontal="center"/>
      <protection locked="0"/>
    </xf>
    <xf numFmtId="164" fontId="5" fillId="0" borderId="0" xfId="1" applyNumberFormat="1" applyFont="1"/>
    <xf numFmtId="10" fontId="0" fillId="0" borderId="0" xfId="4" applyNumberFormat="1" applyFont="1"/>
    <xf numFmtId="169" fontId="0" fillId="0" borderId="0" xfId="1" applyNumberFormat="1" applyFont="1"/>
    <xf numFmtId="43" fontId="0" fillId="0" borderId="0" xfId="1" applyFont="1"/>
    <xf numFmtId="164" fontId="0" fillId="0" borderId="7" xfId="1" applyNumberFormat="1" applyFont="1" applyBorder="1"/>
    <xf numFmtId="10" fontId="0" fillId="0" borderId="7" xfId="4" applyNumberFormat="1" applyFont="1" applyBorder="1"/>
    <xf numFmtId="164" fontId="0" fillId="0" borderId="0" xfId="1" applyNumberFormat="1" applyFont="1" applyBorder="1"/>
    <xf numFmtId="9" fontId="0" fillId="0" borderId="0" xfId="4" applyFont="1" applyBorder="1"/>
    <xf numFmtId="9" fontId="5" fillId="0" borderId="0" xfId="4" applyFont="1"/>
    <xf numFmtId="0" fontId="37" fillId="0" borderId="0" xfId="2" applyNumberFormat="1" applyFont="1" applyProtection="1"/>
    <xf numFmtId="170" fontId="0" fillId="0" borderId="0" xfId="1" applyNumberFormat="1" applyFont="1"/>
    <xf numFmtId="164" fontId="47" fillId="0" borderId="0" xfId="1" applyNumberFormat="1" applyFont="1" applyAlignment="1">
      <alignment horizontal="center"/>
    </xf>
    <xf numFmtId="0" fontId="47" fillId="0" borderId="0" xfId="0" applyFont="1" applyAlignment="1">
      <alignment horizontal="center"/>
    </xf>
    <xf numFmtId="41" fontId="37" fillId="0" borderId="9" xfId="1" applyNumberFormat="1" applyFont="1" applyFill="1" applyBorder="1" applyProtection="1"/>
    <xf numFmtId="41" fontId="38" fillId="0" borderId="9" xfId="2" applyNumberFormat="1" applyFont="1" applyBorder="1" applyProtection="1"/>
    <xf numFmtId="41" fontId="37" fillId="0" borderId="0" xfId="2" applyNumberFormat="1" applyFont="1" applyFill="1" applyProtection="1">
      <protection locked="0"/>
    </xf>
    <xf numFmtId="171" fontId="0" fillId="0" borderId="0" xfId="2" applyNumberFormat="1" applyFont="1"/>
    <xf numFmtId="0" fontId="47" fillId="0" borderId="0" xfId="0" applyFont="1"/>
    <xf numFmtId="41" fontId="39" fillId="0" borderId="0" xfId="1" applyNumberFormat="1" applyFont="1" applyFill="1" applyProtection="1">
      <protection locked="0"/>
    </xf>
    <xf numFmtId="10" fontId="0" fillId="0" borderId="0" xfId="4" applyNumberFormat="1" applyFont="1" applyBorder="1"/>
    <xf numFmtId="164" fontId="49" fillId="0" borderId="0" xfId="1" applyNumberFormat="1" applyFont="1" applyProtection="1">
      <protection locked="0"/>
    </xf>
    <xf numFmtId="41" fontId="37" fillId="0" borderId="0" xfId="1" applyNumberFormat="1" applyFont="1" applyProtection="1"/>
    <xf numFmtId="41" fontId="37" fillId="0" borderId="1" xfId="1" applyNumberFormat="1" applyFont="1" applyFill="1" applyBorder="1" applyProtection="1"/>
    <xf numFmtId="41" fontId="37" fillId="0" borderId="0" xfId="1" applyNumberFormat="1" applyFont="1" applyBorder="1" applyProtection="1"/>
    <xf numFmtId="41" fontId="37" fillId="0" borderId="0" xfId="0" applyNumberFormat="1" applyFont="1"/>
    <xf numFmtId="41" fontId="37" fillId="0" borderId="1" xfId="1" applyNumberFormat="1" applyFont="1" applyBorder="1" applyProtection="1"/>
    <xf numFmtId="164" fontId="50" fillId="0" borderId="0" xfId="0" applyNumberFormat="1" applyFont="1"/>
    <xf numFmtId="164" fontId="37" fillId="0" borderId="0" xfId="0" applyNumberFormat="1" applyFont="1"/>
    <xf numFmtId="41" fontId="37" fillId="0" borderId="0" xfId="2" applyNumberFormat="1" applyFont="1" applyFill="1" applyBorder="1" applyProtection="1"/>
    <xf numFmtId="10" fontId="37" fillId="0" borderId="0" xfId="4" applyNumberFormat="1" applyFont="1" applyFill="1" applyBorder="1" applyAlignment="1" applyProtection="1">
      <alignment horizontal="center"/>
    </xf>
    <xf numFmtId="164" fontId="38" fillId="0" borderId="0" xfId="1" applyNumberFormat="1" applyFont="1" applyProtection="1"/>
    <xf numFmtId="0" fontId="38" fillId="0" borderId="0" xfId="0" applyFont="1" applyProtection="1">
      <protection locked="0"/>
    </xf>
    <xf numFmtId="9" fontId="38" fillId="0" borderId="0" xfId="4" applyFont="1" applyFill="1" applyBorder="1" applyProtection="1">
      <protection locked="0"/>
    </xf>
    <xf numFmtId="41" fontId="37" fillId="0" borderId="0" xfId="0" applyNumberFormat="1" applyFont="1" applyProtection="1">
      <protection locked="0"/>
    </xf>
    <xf numFmtId="164" fontId="50" fillId="0" borderId="0" xfId="0" applyNumberFormat="1" applyFont="1" applyProtection="1">
      <protection locked="0"/>
    </xf>
    <xf numFmtId="164" fontId="37" fillId="0" borderId="0" xfId="0" applyNumberFormat="1" applyFont="1" applyProtection="1">
      <protection locked="0"/>
    </xf>
    <xf numFmtId="41" fontId="37" fillId="0" borderId="0" xfId="2" applyNumberFormat="1" applyFont="1" applyFill="1" applyBorder="1" applyProtection="1">
      <protection locked="0"/>
    </xf>
    <xf numFmtId="41" fontId="37" fillId="0" borderId="0" xfId="1" applyNumberFormat="1" applyFont="1" applyFill="1" applyBorder="1" applyProtection="1">
      <protection locked="0"/>
    </xf>
    <xf numFmtId="164" fontId="38" fillId="0" borderId="0" xfId="1" applyNumberFormat="1" applyFont="1" applyProtection="1">
      <protection locked="0"/>
    </xf>
    <xf numFmtId="41" fontId="37" fillId="0" borderId="1" xfId="1" applyNumberFormat="1" applyFont="1" applyFill="1" applyBorder="1" applyProtection="1">
      <protection locked="0"/>
    </xf>
    <xf numFmtId="41" fontId="37" fillId="0" borderId="0" xfId="1" applyNumberFormat="1" applyFont="1" applyFill="1" applyProtection="1">
      <protection locked="0"/>
    </xf>
    <xf numFmtId="0" fontId="30" fillId="0" borderId="0" xfId="0" applyFont="1"/>
    <xf numFmtId="164" fontId="30" fillId="0" borderId="0" xfId="1" applyNumberFormat="1" applyFont="1" applyFill="1"/>
    <xf numFmtId="169" fontId="5" fillId="0" borderId="0" xfId="1" applyNumberFormat="1" applyFont="1"/>
    <xf numFmtId="171" fontId="5" fillId="0" borderId="0" xfId="2" applyNumberFormat="1" applyFont="1"/>
    <xf numFmtId="164" fontId="37" fillId="5" borderId="0" xfId="1" applyNumberFormat="1" applyFont="1" applyFill="1" applyAlignment="1" applyProtection="1">
      <alignment horizontal="center"/>
    </xf>
    <xf numFmtId="164" fontId="39" fillId="5" borderId="0" xfId="1" applyNumberFormat="1" applyFont="1" applyFill="1" applyProtection="1">
      <protection locked="0"/>
    </xf>
    <xf numFmtId="164" fontId="41" fillId="5" borderId="0" xfId="1" applyNumberFormat="1" applyFont="1" applyFill="1" applyAlignment="1" applyProtection="1">
      <alignment horizontal="center"/>
      <protection locked="0"/>
    </xf>
    <xf numFmtId="164" fontId="39" fillId="5" borderId="1" xfId="1" applyNumberFormat="1" applyFont="1" applyFill="1" applyBorder="1" applyProtection="1">
      <protection locked="0"/>
    </xf>
    <xf numFmtId="164" fontId="37" fillId="5" borderId="1" xfId="1" applyNumberFormat="1" applyFont="1" applyFill="1" applyBorder="1" applyProtection="1"/>
    <xf numFmtId="164" fontId="37" fillId="5" borderId="1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/>
    <xf numFmtId="164" fontId="47" fillId="0" borderId="0" xfId="1" applyNumberFormat="1" applyFont="1" applyFill="1" applyAlignment="1">
      <alignment horizontal="center"/>
    </xf>
    <xf numFmtId="9" fontId="30" fillId="0" borderId="0" xfId="4" applyFont="1" applyFill="1"/>
    <xf numFmtId="165" fontId="5" fillId="0" borderId="0" xfId="2" applyNumberFormat="1" applyFont="1" applyFill="1"/>
    <xf numFmtId="164" fontId="37" fillId="4" borderId="0" xfId="0" applyNumberFormat="1" applyFont="1" applyFill="1" applyAlignment="1">
      <alignment horizontal="center" wrapText="1"/>
    </xf>
    <xf numFmtId="41" fontId="37" fillId="0" borderId="1" xfId="0" applyNumberFormat="1" applyFont="1" applyBorder="1" applyProtection="1">
      <protection locked="0"/>
    </xf>
    <xf numFmtId="164" fontId="5" fillId="0" borderId="0" xfId="0" applyNumberFormat="1" applyFont="1"/>
    <xf numFmtId="9" fontId="38" fillId="0" borderId="0" xfId="4" applyFont="1" applyProtection="1"/>
    <xf numFmtId="9" fontId="37" fillId="0" borderId="0" xfId="4" applyFont="1" applyFill="1" applyBorder="1" applyProtection="1"/>
    <xf numFmtId="165" fontId="0" fillId="0" borderId="0" xfId="2" applyNumberFormat="1" applyFont="1" applyBorder="1"/>
    <xf numFmtId="164" fontId="30" fillId="0" borderId="0" xfId="1" applyNumberFormat="1" applyFont="1" applyBorder="1"/>
    <xf numFmtId="165" fontId="5" fillId="0" borderId="0" xfId="2" applyNumberFormat="1" applyFont="1"/>
    <xf numFmtId="44" fontId="0" fillId="0" borderId="0" xfId="2" applyFont="1"/>
    <xf numFmtId="0" fontId="51" fillId="0" borderId="8" xfId="0" applyFont="1" applyBorder="1" applyAlignment="1">
      <alignment horizontal="center" wrapText="1"/>
    </xf>
    <xf numFmtId="0" fontId="51" fillId="0" borderId="0" xfId="0" applyFont="1" applyAlignment="1">
      <alignment horizontal="center" wrapText="1"/>
    </xf>
    <xf numFmtId="0" fontId="51" fillId="0" borderId="13" xfId="0" applyFont="1" applyBorder="1" applyAlignment="1">
      <alignment horizontal="center" wrapText="1"/>
    </xf>
    <xf numFmtId="164" fontId="6" fillId="0" borderId="8" xfId="1" applyNumberFormat="1" applyFont="1" applyBorder="1"/>
    <xf numFmtId="43" fontId="6" fillId="0" borderId="0" xfId="1" applyFont="1" applyBorder="1"/>
    <xf numFmtId="164" fontId="6" fillId="0" borderId="0" xfId="1" applyNumberFormat="1" applyFont="1" applyBorder="1"/>
    <xf numFmtId="43" fontId="6" fillId="0" borderId="13" xfId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43" fontId="6" fillId="0" borderId="16" xfId="1" applyFont="1" applyBorder="1"/>
    <xf numFmtId="41" fontId="37" fillId="0" borderId="1" xfId="2" applyNumberFormat="1" applyFont="1" applyBorder="1" applyProtection="1"/>
    <xf numFmtId="44" fontId="5" fillId="0" borderId="0" xfId="0" applyNumberFormat="1" applyFont="1"/>
    <xf numFmtId="169" fontId="0" fillId="0" borderId="0" xfId="0" applyNumberFormat="1"/>
    <xf numFmtId="172" fontId="0" fillId="0" borderId="0" xfId="0" applyNumberFormat="1"/>
    <xf numFmtId="43" fontId="0" fillId="0" borderId="0" xfId="0" applyNumberFormat="1"/>
    <xf numFmtId="44" fontId="0" fillId="0" borderId="0" xfId="0" applyNumberFormat="1"/>
    <xf numFmtId="43" fontId="5" fillId="0" borderId="0" xfId="1" applyFont="1"/>
    <xf numFmtId="164" fontId="37" fillId="0" borderId="0" xfId="1" applyNumberFormat="1" applyFont="1" applyBorder="1" applyProtection="1"/>
    <xf numFmtId="164" fontId="5" fillId="0" borderId="0" xfId="0" applyNumberFormat="1" applyFont="1" applyAlignment="1">
      <alignment horizontal="right"/>
    </xf>
    <xf numFmtId="9" fontId="34" fillId="0" borderId="0" xfId="0" applyNumberFormat="1" applyFont="1" applyProtection="1">
      <protection locked="0"/>
    </xf>
    <xf numFmtId="17" fontId="36" fillId="3" borderId="2" xfId="0" quotePrefix="1" applyNumberFormat="1" applyFont="1" applyFill="1" applyBorder="1" applyAlignment="1">
      <alignment horizontal="center" wrapText="1"/>
    </xf>
    <xf numFmtId="17" fontId="36" fillId="3" borderId="3" xfId="0" quotePrefix="1" applyNumberFormat="1" applyFont="1" applyFill="1" applyBorder="1" applyAlignment="1">
      <alignment horizontal="center" wrapText="1"/>
    </xf>
    <xf numFmtId="0" fontId="35" fillId="0" borderId="0" xfId="21" applyFont="1"/>
    <xf numFmtId="0" fontId="34" fillId="0" borderId="0" xfId="21" applyFont="1" applyProtection="1">
      <protection locked="0"/>
    </xf>
    <xf numFmtId="0" fontId="38" fillId="0" borderId="0" xfId="21" applyFont="1"/>
    <xf numFmtId="0" fontId="36" fillId="0" borderId="0" xfId="21" applyFont="1"/>
    <xf numFmtId="0" fontId="34" fillId="0" borderId="0" xfId="21" applyFont="1"/>
    <xf numFmtId="0" fontId="36" fillId="3" borderId="2" xfId="21" applyFont="1" applyFill="1" applyBorder="1" applyAlignment="1">
      <alignment horizontal="center" wrapText="1"/>
    </xf>
    <xf numFmtId="17" fontId="36" fillId="3" borderId="2" xfId="21" applyNumberFormat="1" applyFont="1" applyFill="1" applyBorder="1" applyAlignment="1">
      <alignment horizontal="center" wrapText="1"/>
    </xf>
    <xf numFmtId="17" fontId="36" fillId="3" borderId="3" xfId="21" applyNumberFormat="1" applyFont="1" applyFill="1" applyBorder="1" applyAlignment="1">
      <alignment horizontal="center" wrapText="1"/>
    </xf>
    <xf numFmtId="0" fontId="40" fillId="0" borderId="0" xfId="21" applyFont="1"/>
    <xf numFmtId="0" fontId="37" fillId="0" borderId="0" xfId="21" applyFont="1"/>
    <xf numFmtId="0" fontId="39" fillId="0" borderId="0" xfId="21" applyFont="1" applyProtection="1">
      <protection locked="0"/>
    </xf>
    <xf numFmtId="0" fontId="34" fillId="0" borderId="8" xfId="21" applyFont="1" applyBorder="1"/>
    <xf numFmtId="164" fontId="37" fillId="0" borderId="0" xfId="21" applyNumberFormat="1" applyFont="1" applyAlignment="1">
      <alignment horizontal="center" wrapText="1"/>
    </xf>
    <xf numFmtId="0" fontId="39" fillId="0" borderId="0" xfId="21" applyFont="1"/>
    <xf numFmtId="164" fontId="37" fillId="0" borderId="1" xfId="21" applyNumberFormat="1" applyFont="1" applyBorder="1" applyAlignment="1">
      <alignment horizontal="center" wrapText="1"/>
    </xf>
    <xf numFmtId="41" fontId="39" fillId="0" borderId="0" xfId="21" applyNumberFormat="1" applyFont="1" applyProtection="1">
      <protection locked="0"/>
    </xf>
    <xf numFmtId="41" fontId="37" fillId="0" borderId="0" xfId="21" applyNumberFormat="1" applyFont="1"/>
    <xf numFmtId="0" fontId="39" fillId="0" borderId="0" xfId="21" quotePrefix="1" applyFont="1"/>
    <xf numFmtId="164" fontId="39" fillId="0" borderId="0" xfId="21" applyNumberFormat="1" applyFont="1" applyProtection="1">
      <protection locked="0"/>
    </xf>
    <xf numFmtId="164" fontId="37" fillId="0" borderId="0" xfId="21" applyNumberFormat="1" applyFont="1"/>
    <xf numFmtId="6" fontId="39" fillId="0" borderId="0" xfId="21" applyNumberFormat="1" applyFont="1"/>
    <xf numFmtId="6" fontId="37" fillId="0" borderId="0" xfId="21" applyNumberFormat="1" applyFont="1"/>
    <xf numFmtId="41" fontId="39" fillId="2" borderId="1" xfId="21" applyNumberFormat="1" applyFont="1" applyFill="1" applyBorder="1" applyProtection="1">
      <protection locked="0"/>
    </xf>
    <xf numFmtId="41" fontId="39" fillId="0" borderId="1" xfId="21" applyNumberFormat="1" applyFont="1" applyBorder="1" applyProtection="1">
      <protection locked="0"/>
    </xf>
    <xf numFmtId="0" fontId="34" fillId="0" borderId="0" xfId="21" applyFont="1" applyAlignment="1">
      <alignment horizontal="left" indent="1"/>
    </xf>
    <xf numFmtId="0" fontId="5" fillId="0" borderId="0" xfId="21"/>
    <xf numFmtId="0" fontId="43" fillId="0" borderId="0" xfId="21" applyFont="1" applyAlignment="1">
      <alignment horizontal="center" wrapText="1"/>
    </xf>
    <xf numFmtId="0" fontId="30" fillId="0" borderId="0" xfId="21" applyFont="1" applyAlignment="1">
      <alignment horizontal="left" vertical="center" wrapText="1"/>
    </xf>
    <xf numFmtId="0" fontId="47" fillId="0" borderId="0" xfId="21" applyFont="1"/>
    <xf numFmtId="0" fontId="47" fillId="0" borderId="0" xfId="21" applyFont="1" applyAlignment="1">
      <alignment horizontal="center"/>
    </xf>
    <xf numFmtId="9" fontId="5" fillId="0" borderId="0" xfId="21" applyNumberFormat="1"/>
    <xf numFmtId="0" fontId="30" fillId="0" borderId="0" xfId="21" applyFont="1"/>
    <xf numFmtId="0" fontId="5" fillId="0" borderId="0" xfId="21" quotePrefix="1"/>
    <xf numFmtId="0" fontId="37" fillId="0" borderId="0" xfId="21" applyFont="1" applyProtection="1">
      <protection locked="0"/>
    </xf>
    <xf numFmtId="0" fontId="33" fillId="0" borderId="0" xfId="21" applyFont="1" applyProtection="1">
      <protection locked="0"/>
    </xf>
    <xf numFmtId="0" fontId="39" fillId="0" borderId="0" xfId="21" applyFont="1" applyAlignment="1" applyProtection="1">
      <alignment horizontal="center"/>
      <protection locked="0"/>
    </xf>
    <xf numFmtId="0" fontId="41" fillId="0" borderId="0" xfId="21" applyFont="1" applyAlignment="1" applyProtection="1">
      <alignment horizontal="center"/>
      <protection locked="0"/>
    </xf>
    <xf numFmtId="0" fontId="41" fillId="0" borderId="5" xfId="21" applyFont="1" applyBorder="1" applyAlignment="1" applyProtection="1">
      <alignment horizontal="center"/>
      <protection locked="0"/>
    </xf>
    <xf numFmtId="0" fontId="41" fillId="0" borderId="6" xfId="21" applyFont="1" applyBorder="1" applyAlignment="1" applyProtection="1">
      <alignment horizontal="center"/>
      <protection locked="0"/>
    </xf>
    <xf numFmtId="0" fontId="41" fillId="0" borderId="6" xfId="21" quotePrefix="1" applyFont="1" applyBorder="1" applyAlignment="1" applyProtection="1">
      <alignment horizontal="center"/>
      <protection locked="0"/>
    </xf>
    <xf numFmtId="0" fontId="41" fillId="0" borderId="0" xfId="21" quotePrefix="1" applyFont="1" applyAlignment="1" applyProtection="1">
      <alignment horizontal="center"/>
      <protection locked="0"/>
    </xf>
    <xf numFmtId="0" fontId="39" fillId="2" borderId="0" xfId="21" applyFont="1" applyFill="1" applyProtection="1">
      <protection locked="0"/>
    </xf>
    <xf numFmtId="10" fontId="39" fillId="2" borderId="0" xfId="21" applyNumberFormat="1" applyFont="1" applyFill="1" applyProtection="1">
      <protection locked="0"/>
    </xf>
    <xf numFmtId="0" fontId="46" fillId="0" borderId="0" xfId="21" applyFont="1" applyAlignment="1">
      <alignment horizontal="left"/>
    </xf>
    <xf numFmtId="4" fontId="37" fillId="0" borderId="0" xfId="21" applyNumberFormat="1" applyFont="1" applyAlignment="1">
      <alignment horizontal="right"/>
    </xf>
    <xf numFmtId="4" fontId="37" fillId="0" borderId="0" xfId="21" applyNumberFormat="1" applyFont="1"/>
    <xf numFmtId="0" fontId="37" fillId="0" borderId="0" xfId="21" applyFont="1" applyAlignment="1">
      <alignment horizontal="right"/>
    </xf>
    <xf numFmtId="0" fontId="42" fillId="0" borderId="0" xfId="21" applyFont="1"/>
    <xf numFmtId="0" fontId="37" fillId="0" borderId="0" xfId="21" quotePrefix="1" applyFont="1" applyProtection="1">
      <protection locked="0"/>
    </xf>
    <xf numFmtId="0" fontId="39" fillId="0" borderId="0" xfId="21" applyFont="1" applyAlignment="1">
      <alignment horizontal="left"/>
    </xf>
    <xf numFmtId="0" fontId="39" fillId="0" borderId="0" xfId="21" quotePrefix="1" applyFont="1" applyProtection="1">
      <protection locked="0"/>
    </xf>
    <xf numFmtId="0" fontId="48" fillId="0" borderId="0" xfId="21" applyFont="1" applyAlignment="1" applyProtection="1">
      <alignment horizontal="center" wrapText="1"/>
      <protection locked="0"/>
    </xf>
    <xf numFmtId="0" fontId="39" fillId="6" borderId="0" xfId="21" applyFont="1" applyFill="1"/>
    <xf numFmtId="0" fontId="39" fillId="6" borderId="0" xfId="21" applyFont="1" applyFill="1" applyProtection="1">
      <protection locked="0"/>
    </xf>
    <xf numFmtId="164" fontId="39" fillId="6" borderId="0" xfId="1" applyNumberFormat="1" applyFont="1" applyFill="1" applyAlignment="1" applyProtection="1">
      <alignment horizontal="center"/>
      <protection locked="0"/>
    </xf>
    <xf numFmtId="164" fontId="39" fillId="6" borderId="0" xfId="1" applyNumberFormat="1" applyFont="1" applyFill="1" applyProtection="1">
      <protection locked="0"/>
    </xf>
    <xf numFmtId="0" fontId="37" fillId="0" borderId="0" xfId="21" applyFont="1" applyAlignment="1" applyProtection="1">
      <alignment horizontal="center"/>
      <protection locked="0"/>
    </xf>
    <xf numFmtId="0" fontId="46" fillId="5" borderId="0" xfId="21" applyFont="1" applyFill="1" applyAlignment="1">
      <alignment horizontal="left"/>
    </xf>
    <xf numFmtId="9" fontId="48" fillId="0" borderId="0" xfId="4" applyFont="1" applyAlignment="1">
      <alignment horizontal="center" wrapText="1"/>
    </xf>
    <xf numFmtId="0" fontId="49" fillId="0" borderId="0" xfId="21" applyFont="1" applyProtection="1">
      <protection locked="0"/>
    </xf>
    <xf numFmtId="164" fontId="49" fillId="0" borderId="0" xfId="1" applyNumberFormat="1" applyFont="1" applyAlignment="1" applyProtection="1">
      <alignment horizontal="center"/>
      <protection locked="0"/>
    </xf>
    <xf numFmtId="43" fontId="39" fillId="0" borderId="0" xfId="21" applyNumberFormat="1" applyFont="1" applyProtection="1">
      <protection locked="0"/>
    </xf>
    <xf numFmtId="164" fontId="47" fillId="0" borderId="0" xfId="1" applyNumberFormat="1" applyFont="1" applyFill="1" applyAlignment="1">
      <alignment horizontal="left"/>
    </xf>
    <xf numFmtId="43" fontId="39" fillId="0" borderId="0" xfId="0" applyNumberFormat="1" applyFont="1" applyProtection="1">
      <protection locked="0"/>
    </xf>
    <xf numFmtId="173" fontId="0" fillId="0" borderId="0" xfId="4" applyNumberFormat="1" applyFont="1"/>
    <xf numFmtId="0" fontId="30" fillId="0" borderId="0" xfId="0" applyFont="1" applyAlignment="1">
      <alignment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30" fillId="0" borderId="0" xfId="21" applyFont="1" applyAlignment="1">
      <alignment horizontal="left" vertical="center" wrapText="1"/>
    </xf>
    <xf numFmtId="0" fontId="47" fillId="0" borderId="1" xfId="21" applyFont="1" applyBorder="1" applyAlignment="1">
      <alignment horizontal="center"/>
    </xf>
    <xf numFmtId="0" fontId="30" fillId="0" borderId="0" xfId="21" applyFont="1" applyAlignment="1">
      <alignment wrapText="1"/>
    </xf>
    <xf numFmtId="0" fontId="30" fillId="0" borderId="0" xfId="1" applyNumberFormat="1" applyFont="1" applyAlignment="1">
      <alignment wrapText="1"/>
    </xf>
    <xf numFmtId="0" fontId="5" fillId="0" borderId="0" xfId="21" applyAlignment="1">
      <alignment horizontal="center"/>
    </xf>
    <xf numFmtId="0" fontId="39" fillId="0" borderId="1" xfId="21" applyFont="1" applyBorder="1" applyAlignment="1" applyProtection="1">
      <alignment horizontal="center"/>
      <protection locked="0"/>
    </xf>
    <xf numFmtId="0" fontId="12" fillId="0" borderId="0" xfId="10" quotePrefix="1" applyNumberFormat="1" applyAlignment="1">
      <alignment horizontal="center"/>
    </xf>
    <xf numFmtId="0" fontId="13" fillId="0" borderId="0" xfId="11" quotePrefix="1" applyNumberFormat="1" applyAlignment="1">
      <alignment horizontal="center"/>
    </xf>
    <xf numFmtId="0" fontId="14" fillId="0" borderId="0" xfId="12" quotePrefix="1" applyNumberFormat="1" applyAlignment="1">
      <alignment horizontal="center"/>
    </xf>
  </cellXfs>
  <cellStyles count="30">
    <cellStyle name="Comma" xfId="1" builtinId="3"/>
    <cellStyle name="Comma 2" xfId="25" xr:uid="{F9D43794-FD44-4C2B-9199-0CD3C5EA98E7}"/>
    <cellStyle name="Comma 3" xfId="27" xr:uid="{4735E814-7A7D-4D70-AD98-E9BB734D1CCD}"/>
    <cellStyle name="Comma 4" xfId="29" xr:uid="{0A469D2E-2721-4D0A-98B9-67B89F088654}"/>
    <cellStyle name="Currency" xfId="2" builtinId="4"/>
    <cellStyle name="Normal" xfId="0" builtinId="0"/>
    <cellStyle name="Normal 2" xfId="3" xr:uid="{00000000-0005-0000-0000-000003000000}"/>
    <cellStyle name="Normal 2 2" xfId="21" xr:uid="{00000000-0005-0000-0000-000004000000}"/>
    <cellStyle name="Normal 2 3" xfId="18" xr:uid="{00000000-0005-0000-0000-000005000000}"/>
    <cellStyle name="Normal 3" xfId="20" xr:uid="{00000000-0005-0000-0000-000006000000}"/>
    <cellStyle name="Normal 4" xfId="23" xr:uid="{00000000-0005-0000-0000-000007000000}"/>
    <cellStyle name="Normal 5" xfId="24" xr:uid="{E1D1C5CC-711C-4B72-8924-85E932D20889}"/>
    <cellStyle name="Normal 6" xfId="26" xr:uid="{07E62489-1992-4BFC-9384-C6F76FEC793B}"/>
    <cellStyle name="Normal 7" xfId="28" xr:uid="{14C6CCEE-BD0A-4190-BFA0-AA16F3AB52D4}"/>
    <cellStyle name="Percent" xfId="4" builtinId="5"/>
    <cellStyle name="Percent 2" xfId="5" xr:uid="{00000000-0005-0000-0000-000009000000}"/>
    <cellStyle name="Percent 2 2" xfId="22" xr:uid="{00000000-0005-0000-0000-00000A000000}"/>
    <cellStyle name="Percent 2 3" xfId="19" xr:uid="{00000000-0005-0000-0000-00000B000000}"/>
    <cellStyle name="STYLE1" xfId="6" xr:uid="{00000000-0005-0000-0000-00000C000000}"/>
    <cellStyle name="STYLE1_Actual and Forecast Sank. Pref &amp; stillman pydwn 073107" xfId="7" xr:uid="{00000000-0005-0000-0000-00000D000000}"/>
    <cellStyle name="STYLE10" xfId="8" xr:uid="{00000000-0005-0000-0000-00000E000000}"/>
    <cellStyle name="STYLE11" xfId="9" xr:uid="{00000000-0005-0000-0000-00000F000000}"/>
    <cellStyle name="STYLE2" xfId="10" xr:uid="{00000000-0005-0000-0000-000010000000}"/>
    <cellStyle name="STYLE3" xfId="11" xr:uid="{00000000-0005-0000-0000-000011000000}"/>
    <cellStyle name="STYLE4" xfId="12" xr:uid="{00000000-0005-0000-0000-000012000000}"/>
    <cellStyle name="STYLE5" xfId="13" xr:uid="{00000000-0005-0000-0000-000013000000}"/>
    <cellStyle name="STYLE6" xfId="14" xr:uid="{00000000-0005-0000-0000-000014000000}"/>
    <cellStyle name="STYLE7" xfId="15" xr:uid="{00000000-0005-0000-0000-000015000000}"/>
    <cellStyle name="STYLE8" xfId="16" xr:uid="{00000000-0005-0000-0000-000016000000}"/>
    <cellStyle name="STYLE9" xfId="17" xr:uid="{00000000-0005-0000-0000-000017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R38"/>
  <sheetViews>
    <sheetView workbookViewId="0"/>
  </sheetViews>
  <sheetFormatPr defaultColWidth="9.140625" defaultRowHeight="12.75" x14ac:dyDescent="0.2"/>
  <cols>
    <col min="1" max="1" width="16.140625" style="52" customWidth="1"/>
    <col min="2" max="2" width="30.7109375" style="52" customWidth="1"/>
    <col min="3" max="16384" width="9.140625" style="52"/>
  </cols>
  <sheetData>
    <row r="3" spans="1:18" x14ac:dyDescent="0.2">
      <c r="A3" s="52" t="s">
        <v>0</v>
      </c>
      <c r="B3" s="108" t="s">
        <v>47</v>
      </c>
    </row>
    <row r="4" spans="1:18" x14ac:dyDescent="0.2">
      <c r="A4" s="52" t="s">
        <v>1</v>
      </c>
      <c r="B4" s="108" t="s">
        <v>123</v>
      </c>
    </row>
    <row r="5" spans="1:18" x14ac:dyDescent="0.2">
      <c r="A5" s="52" t="s">
        <v>111</v>
      </c>
      <c r="B5" s="111">
        <v>2017</v>
      </c>
      <c r="C5" s="52" t="str">
        <f t="shared" ref="C5:C10" si="0">RIGHT(B5,2)</f>
        <v>17</v>
      </c>
    </row>
    <row r="6" spans="1:18" x14ac:dyDescent="0.2">
      <c r="A6" s="52" t="s">
        <v>112</v>
      </c>
      <c r="B6" s="111">
        <f>B5-1</f>
        <v>2016</v>
      </c>
      <c r="C6" s="52" t="str">
        <f t="shared" si="0"/>
        <v>16</v>
      </c>
    </row>
    <row r="7" spans="1:18" x14ac:dyDescent="0.2">
      <c r="A7" s="52" t="s">
        <v>113</v>
      </c>
      <c r="B7" s="111">
        <f>B5+1</f>
        <v>2018</v>
      </c>
      <c r="C7" s="52" t="str">
        <f t="shared" si="0"/>
        <v>18</v>
      </c>
    </row>
    <row r="8" spans="1:18" x14ac:dyDescent="0.2">
      <c r="A8" s="52" t="s">
        <v>114</v>
      </c>
      <c r="B8" s="111">
        <f>B7+1</f>
        <v>2019</v>
      </c>
      <c r="C8" s="52" t="str">
        <f t="shared" si="0"/>
        <v>19</v>
      </c>
    </row>
    <row r="9" spans="1:18" x14ac:dyDescent="0.2">
      <c r="A9" s="52" t="s">
        <v>115</v>
      </c>
      <c r="B9" s="111">
        <f>B8+1</f>
        <v>2020</v>
      </c>
      <c r="C9" s="52" t="str">
        <f t="shared" si="0"/>
        <v>20</v>
      </c>
    </row>
    <row r="10" spans="1:18" x14ac:dyDescent="0.2">
      <c r="A10" s="52" t="s">
        <v>116</v>
      </c>
      <c r="B10" s="111">
        <f>B9+1</f>
        <v>2021</v>
      </c>
      <c r="C10" s="52" t="str">
        <f t="shared" si="0"/>
        <v>21</v>
      </c>
    </row>
    <row r="11" spans="1:18" x14ac:dyDescent="0.2">
      <c r="C11" s="52" t="s">
        <v>15</v>
      </c>
      <c r="D11" s="52" t="s">
        <v>16</v>
      </c>
      <c r="E11" s="52" t="s">
        <v>17</v>
      </c>
      <c r="F11" s="52" t="s">
        <v>18</v>
      </c>
      <c r="G11" s="52" t="s">
        <v>19</v>
      </c>
      <c r="H11" s="52" t="s">
        <v>20</v>
      </c>
      <c r="I11" s="52" t="s">
        <v>21</v>
      </c>
      <c r="J11" s="52" t="s">
        <v>8</v>
      </c>
      <c r="K11" s="52" t="s">
        <v>22</v>
      </c>
      <c r="L11" s="52" t="s">
        <v>23</v>
      </c>
      <c r="M11" s="52" t="s">
        <v>24</v>
      </c>
      <c r="N11" s="52" t="s">
        <v>25</v>
      </c>
    </row>
    <row r="12" spans="1:18" x14ac:dyDescent="0.2">
      <c r="B12" s="52" t="s">
        <v>120</v>
      </c>
      <c r="C12" s="108">
        <v>4</v>
      </c>
      <c r="D12" s="108">
        <v>4</v>
      </c>
      <c r="E12" s="108">
        <v>5</v>
      </c>
      <c r="F12" s="108">
        <v>4</v>
      </c>
      <c r="G12" s="108">
        <v>4</v>
      </c>
      <c r="H12" s="108">
        <v>5</v>
      </c>
      <c r="I12" s="108">
        <v>4</v>
      </c>
      <c r="J12" s="108">
        <v>4</v>
      </c>
      <c r="K12" s="108">
        <v>5</v>
      </c>
      <c r="L12" s="108">
        <v>4</v>
      </c>
      <c r="M12" s="108">
        <v>4</v>
      </c>
      <c r="N12" s="108">
        <v>5</v>
      </c>
    </row>
    <row r="13" spans="1:18" x14ac:dyDescent="0.2">
      <c r="B13" s="52" t="s">
        <v>122</v>
      </c>
      <c r="C13" s="108">
        <v>4</v>
      </c>
      <c r="D13" s="108">
        <v>4</v>
      </c>
      <c r="E13" s="108">
        <v>5</v>
      </c>
      <c r="F13" s="108">
        <v>4</v>
      </c>
      <c r="G13" s="108">
        <v>4</v>
      </c>
      <c r="H13" s="108">
        <v>5</v>
      </c>
      <c r="I13" s="108">
        <v>4</v>
      </c>
      <c r="J13" s="108">
        <v>4</v>
      </c>
      <c r="K13" s="108">
        <v>5</v>
      </c>
      <c r="L13" s="108">
        <v>4</v>
      </c>
      <c r="M13" s="108">
        <v>5</v>
      </c>
      <c r="N13" s="108">
        <v>4</v>
      </c>
    </row>
    <row r="15" spans="1:18" x14ac:dyDescent="0.2">
      <c r="B15" s="52" t="s">
        <v>121</v>
      </c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08"/>
    </row>
    <row r="16" spans="1:18" x14ac:dyDescent="0.2">
      <c r="B16" s="52" t="s">
        <v>107</v>
      </c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08"/>
      <c r="P16" s="108"/>
      <c r="Q16" s="108"/>
      <c r="R16" s="108"/>
    </row>
    <row r="18" spans="1:3" x14ac:dyDescent="0.2">
      <c r="B18" s="52" t="s">
        <v>75</v>
      </c>
    </row>
    <row r="26" spans="1:3" x14ac:dyDescent="0.2">
      <c r="A26" s="52" t="s">
        <v>110</v>
      </c>
    </row>
    <row r="27" spans="1:3" x14ac:dyDescent="0.2">
      <c r="A27" s="52">
        <v>1</v>
      </c>
      <c r="B27" s="52" t="s">
        <v>50</v>
      </c>
      <c r="C27" s="52" t="s">
        <v>15</v>
      </c>
    </row>
    <row r="28" spans="1:3" x14ac:dyDescent="0.2">
      <c r="A28" s="52">
        <v>2</v>
      </c>
      <c r="B28" s="52" t="s">
        <v>2</v>
      </c>
      <c r="C28" s="52" t="s">
        <v>16</v>
      </c>
    </row>
    <row r="29" spans="1:3" x14ac:dyDescent="0.2">
      <c r="A29" s="52">
        <v>3</v>
      </c>
      <c r="B29" s="52" t="s">
        <v>3</v>
      </c>
      <c r="C29" s="52" t="s">
        <v>17</v>
      </c>
    </row>
    <row r="30" spans="1:3" x14ac:dyDescent="0.2">
      <c r="A30" s="52">
        <v>4</v>
      </c>
      <c r="B30" s="52" t="s">
        <v>4</v>
      </c>
      <c r="C30" s="52" t="s">
        <v>18</v>
      </c>
    </row>
    <row r="31" spans="1:3" x14ac:dyDescent="0.2">
      <c r="A31" s="52">
        <v>5</v>
      </c>
      <c r="B31" s="52" t="s">
        <v>5</v>
      </c>
      <c r="C31" s="52" t="s">
        <v>19</v>
      </c>
    </row>
    <row r="32" spans="1:3" x14ac:dyDescent="0.2">
      <c r="A32" s="52">
        <v>6</v>
      </c>
      <c r="B32" s="52" t="s">
        <v>6</v>
      </c>
      <c r="C32" s="52" t="s">
        <v>20</v>
      </c>
    </row>
    <row r="33" spans="1:3" x14ac:dyDescent="0.2">
      <c r="A33" s="52">
        <v>7</v>
      </c>
      <c r="B33" s="52" t="s">
        <v>7</v>
      </c>
      <c r="C33" s="52" t="s">
        <v>21</v>
      </c>
    </row>
    <row r="34" spans="1:3" x14ac:dyDescent="0.2">
      <c r="A34" s="52">
        <v>8</v>
      </c>
      <c r="B34" s="52" t="s">
        <v>8</v>
      </c>
      <c r="C34" s="52" t="s">
        <v>8</v>
      </c>
    </row>
    <row r="35" spans="1:3" x14ac:dyDescent="0.2">
      <c r="A35" s="52">
        <v>9</v>
      </c>
      <c r="B35" s="52" t="s">
        <v>9</v>
      </c>
      <c r="C35" s="52" t="s">
        <v>22</v>
      </c>
    </row>
    <row r="36" spans="1:3" x14ac:dyDescent="0.2">
      <c r="A36" s="52">
        <v>10</v>
      </c>
      <c r="B36" s="52" t="s">
        <v>10</v>
      </c>
      <c r="C36" s="52" t="s">
        <v>23</v>
      </c>
    </row>
    <row r="37" spans="1:3" x14ac:dyDescent="0.2">
      <c r="A37" s="52">
        <v>11</v>
      </c>
      <c r="B37" s="52" t="s">
        <v>11</v>
      </c>
      <c r="C37" s="52" t="s">
        <v>24</v>
      </c>
    </row>
    <row r="38" spans="1:3" x14ac:dyDescent="0.2">
      <c r="A38" s="52">
        <v>12</v>
      </c>
      <c r="B38" s="52" t="s">
        <v>12</v>
      </c>
      <c r="C38" s="52" t="s">
        <v>25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B10"/>
  <sheetViews>
    <sheetView workbookViewId="0"/>
  </sheetViews>
  <sheetFormatPr defaultRowHeight="12.75" x14ac:dyDescent="0.2"/>
  <sheetData>
    <row r="1" spans="1:2" x14ac:dyDescent="0.2">
      <c r="A1" t="s">
        <v>72</v>
      </c>
    </row>
    <row r="2" spans="1:2" x14ac:dyDescent="0.2">
      <c r="A2" t="s">
        <v>76</v>
      </c>
    </row>
    <row r="6" spans="1:2" x14ac:dyDescent="0.2">
      <c r="A6">
        <v>1</v>
      </c>
      <c r="B6" s="47" t="s">
        <v>79</v>
      </c>
    </row>
    <row r="7" spans="1:2" x14ac:dyDescent="0.2">
      <c r="A7">
        <v>2</v>
      </c>
      <c r="B7" t="s">
        <v>77</v>
      </c>
    </row>
    <row r="8" spans="1:2" x14ac:dyDescent="0.2">
      <c r="A8">
        <v>3</v>
      </c>
      <c r="B8" s="47" t="s">
        <v>78</v>
      </c>
    </row>
    <row r="9" spans="1:2" x14ac:dyDescent="0.2">
      <c r="A9">
        <v>4</v>
      </c>
      <c r="B9" s="47" t="s">
        <v>80</v>
      </c>
    </row>
    <row r="10" spans="1:2" x14ac:dyDescent="0.2">
      <c r="A10">
        <v>5</v>
      </c>
    </row>
  </sheetData>
  <phoneticPr fontId="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5:B14"/>
  <sheetViews>
    <sheetView workbookViewId="0"/>
  </sheetViews>
  <sheetFormatPr defaultRowHeight="12.75" x14ac:dyDescent="0.2"/>
  <sheetData>
    <row r="5" spans="1:2" x14ac:dyDescent="0.2">
      <c r="A5">
        <v>1</v>
      </c>
      <c r="B5" t="s">
        <v>86</v>
      </c>
    </row>
    <row r="6" spans="1:2" x14ac:dyDescent="0.2">
      <c r="A6">
        <v>2</v>
      </c>
      <c r="B6" t="s">
        <v>117</v>
      </c>
    </row>
    <row r="7" spans="1:2" x14ac:dyDescent="0.2">
      <c r="A7">
        <f>A6+1</f>
        <v>3</v>
      </c>
      <c r="B7" t="s">
        <v>118</v>
      </c>
    </row>
    <row r="8" spans="1:2" x14ac:dyDescent="0.2">
      <c r="A8">
        <f t="shared" ref="A8:A14" si="0">A7+1</f>
        <v>4</v>
      </c>
      <c r="B8" t="s">
        <v>119</v>
      </c>
    </row>
    <row r="9" spans="1:2" x14ac:dyDescent="0.2">
      <c r="A9">
        <f t="shared" si="0"/>
        <v>5</v>
      </c>
      <c r="B9" t="s">
        <v>87</v>
      </c>
    </row>
    <row r="10" spans="1:2" x14ac:dyDescent="0.2">
      <c r="A10">
        <f t="shared" si="0"/>
        <v>6</v>
      </c>
      <c r="B10" t="s">
        <v>88</v>
      </c>
    </row>
    <row r="11" spans="1:2" x14ac:dyDescent="0.2">
      <c r="A11">
        <f t="shared" si="0"/>
        <v>7</v>
      </c>
      <c r="B11" t="s">
        <v>92</v>
      </c>
    </row>
    <row r="12" spans="1:2" x14ac:dyDescent="0.2">
      <c r="A12">
        <f t="shared" si="0"/>
        <v>8</v>
      </c>
      <c r="B12" t="s">
        <v>89</v>
      </c>
    </row>
    <row r="13" spans="1:2" x14ac:dyDescent="0.2">
      <c r="A13">
        <f t="shared" si="0"/>
        <v>9</v>
      </c>
      <c r="B13" t="s">
        <v>90</v>
      </c>
    </row>
    <row r="14" spans="1:2" x14ac:dyDescent="0.2">
      <c r="A14">
        <f t="shared" si="0"/>
        <v>10</v>
      </c>
      <c r="B14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4">
    <tabColor rgb="FFFF0000"/>
  </sheetPr>
  <dimension ref="A1:AT27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6" sqref="N6"/>
    </sheetView>
  </sheetViews>
  <sheetFormatPr defaultColWidth="9.140625" defaultRowHeight="12.75" outlineLevelCol="1" x14ac:dyDescent="0.2"/>
  <cols>
    <col min="1" max="1" width="29.140625" style="52" bestFit="1" customWidth="1"/>
    <col min="2" max="5" width="12" style="53" hidden="1" customWidth="1" outlineLevel="1"/>
    <col min="6" max="6" width="13.5703125" style="53" hidden="1" customWidth="1" outlineLevel="1"/>
    <col min="7" max="7" width="12" style="53" hidden="1" customWidth="1" outlineLevel="1"/>
    <col min="8" max="8" width="12.42578125" style="53" hidden="1" customWidth="1" outlineLevel="1"/>
    <col min="9" max="13" width="12" style="53" hidden="1" customWidth="1" outlineLevel="1"/>
    <col min="14" max="14" width="12" style="95" bestFit="1" customWidth="1" collapsed="1"/>
    <col min="15" max="18" width="12" style="53" hidden="1" customWidth="1" outlineLevel="1"/>
    <col min="19" max="19" width="13.5703125" style="53" hidden="1" customWidth="1" outlineLevel="1"/>
    <col min="20" max="20" width="12" style="53" hidden="1" customWidth="1" outlineLevel="1"/>
    <col min="21" max="21" width="12.42578125" style="53" hidden="1" customWidth="1" outlineLevel="1"/>
    <col min="22" max="26" width="12" style="53" hidden="1" customWidth="1" outlineLevel="1"/>
    <col min="27" max="27" width="15.7109375" style="53" bestFit="1" customWidth="1" collapsed="1"/>
    <col min="28" max="29" width="15.7109375" style="166" bestFit="1" customWidth="1"/>
    <col min="30" max="30" width="15.7109375" style="166" customWidth="1"/>
    <col min="31" max="16384" width="9.140625" style="53"/>
  </cols>
  <sheetData>
    <row r="1" spans="1:46" ht="18.75" x14ac:dyDescent="0.3">
      <c r="A1" s="54" t="s">
        <v>489</v>
      </c>
      <c r="B1" s="54" t="s">
        <v>275</v>
      </c>
    </row>
    <row r="2" spans="1:46" ht="18.75" x14ac:dyDescent="0.3">
      <c r="A2" s="54" t="s">
        <v>149</v>
      </c>
    </row>
    <row r="3" spans="1:46" ht="15.75" x14ac:dyDescent="0.25">
      <c r="A3" s="55" t="s">
        <v>14</v>
      </c>
      <c r="AA3" s="56"/>
      <c r="AB3" s="167"/>
      <c r="AC3" s="167"/>
      <c r="AD3" s="167"/>
    </row>
    <row r="4" spans="1:46" ht="13.9" customHeight="1" x14ac:dyDescent="0.2"/>
    <row r="5" spans="1:46" s="52" customFormat="1" ht="15.75" x14ac:dyDescent="0.25">
      <c r="B5" s="112">
        <v>1</v>
      </c>
      <c r="C5" s="112">
        <v>2</v>
      </c>
      <c r="D5" s="112">
        <v>3</v>
      </c>
      <c r="E5" s="112">
        <v>4</v>
      </c>
      <c r="F5" s="112">
        <v>5</v>
      </c>
      <c r="G5" s="112">
        <v>6</v>
      </c>
      <c r="H5" s="112">
        <v>7</v>
      </c>
      <c r="I5" s="112">
        <v>8</v>
      </c>
      <c r="J5" s="112">
        <v>9</v>
      </c>
      <c r="K5" s="112">
        <v>10</v>
      </c>
      <c r="L5" s="112">
        <v>11</v>
      </c>
      <c r="M5" s="112">
        <v>12</v>
      </c>
      <c r="N5" s="57" t="s">
        <v>125</v>
      </c>
      <c r="O5" s="112">
        <v>13</v>
      </c>
      <c r="P5" s="112">
        <v>14</v>
      </c>
      <c r="Q5" s="112">
        <v>15</v>
      </c>
      <c r="R5" s="112">
        <v>16</v>
      </c>
      <c r="S5" s="112">
        <v>17</v>
      </c>
      <c r="T5" s="112">
        <v>18</v>
      </c>
      <c r="U5" s="112">
        <v>19</v>
      </c>
      <c r="V5" s="112">
        <v>20</v>
      </c>
      <c r="W5" s="112">
        <v>21</v>
      </c>
      <c r="X5" s="112">
        <v>22</v>
      </c>
      <c r="Y5" s="112">
        <v>23</v>
      </c>
      <c r="Z5" s="112">
        <v>24</v>
      </c>
      <c r="AA5" s="58" t="s">
        <v>163</v>
      </c>
      <c r="AB5" s="58" t="s">
        <v>164</v>
      </c>
      <c r="AC5" s="58" t="s">
        <v>165</v>
      </c>
      <c r="AD5" s="58" t="s">
        <v>166</v>
      </c>
    </row>
    <row r="6" spans="1:46" ht="15" x14ac:dyDescent="0.25">
      <c r="A6" s="60" t="s">
        <v>255</v>
      </c>
    </row>
    <row r="7" spans="1:46" x14ac:dyDescent="0.2">
      <c r="A7" s="61" t="s">
        <v>161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1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99"/>
      <c r="AC7" s="99"/>
      <c r="AD7" s="99"/>
    </row>
    <row r="8" spans="1:46" x14ac:dyDescent="0.2">
      <c r="A8" s="107" t="s">
        <v>425</v>
      </c>
      <c r="B8" s="129">
        <f>'FSS Phase 1 Assumptions'!$C9*'FSS Phase 1 Assumptions'!$F9/12*'FSS Phase 1 Assumptions'!B$23</f>
        <v>0</v>
      </c>
      <c r="C8" s="129">
        <f>'FSS Phase 1 Assumptions'!$C9*'FSS Phase 1 Assumptions'!$F9/12*'FSS Phase 1 Assumptions'!C$23</f>
        <v>0</v>
      </c>
      <c r="D8" s="129">
        <f>'FSS Phase 1 Assumptions'!$C9*'FSS Phase 1 Assumptions'!$F9/12*'FSS Phase 1 Assumptions'!D$23</f>
        <v>0</v>
      </c>
      <c r="E8" s="129">
        <f>'FSS Phase 1 Assumptions'!$C9*'FSS Phase 1 Assumptions'!$F9/12*'FSS Phase 1 Assumptions'!E$23</f>
        <v>0</v>
      </c>
      <c r="F8" s="129">
        <f>'FSS Phase 1 Assumptions'!$C9*'FSS Phase 1 Assumptions'!$F9/12*'FSS Phase 1 Assumptions'!F$23</f>
        <v>0</v>
      </c>
      <c r="G8" s="129">
        <f>'FSS Phase 1 Assumptions'!$C9*'FSS Phase 1 Assumptions'!$F9/12*'FSS Phase 1 Assumptions'!G$23</f>
        <v>0</v>
      </c>
      <c r="H8" s="129">
        <f>'FSS Phase 1 Assumptions'!$C9*'FSS Phase 1 Assumptions'!$F9/12*'FSS Phase 1 Assumptions'!H$23</f>
        <v>0</v>
      </c>
      <c r="I8" s="129">
        <f>'FSS Phase 1 Assumptions'!$C9*'FSS Phase 1 Assumptions'!$F9/12*'FSS Phase 1 Assumptions'!I$23</f>
        <v>0</v>
      </c>
      <c r="J8" s="129">
        <f>'FSS Phase 1 Assumptions'!$C9*'FSS Phase 1 Assumptions'!$F9/12*'FSS Phase 1 Assumptions'!J$23</f>
        <v>0</v>
      </c>
      <c r="K8" s="129">
        <f>'FSS Phase 1 Assumptions'!$C9*'FSS Phase 1 Assumptions'!$F9/12*'FSS Phase 1 Assumptions'!K$23</f>
        <v>0</v>
      </c>
      <c r="L8" s="129">
        <f>'FSS Phase 1 Assumptions'!$C9*'FSS Phase 1 Assumptions'!$F9/12*'FSS Phase 1 Assumptions'!L$23</f>
        <v>0</v>
      </c>
      <c r="M8" s="129">
        <f>'FSS Phase 1 Assumptions'!$C9*'FSS Phase 1 Assumptions'!$F9/12*'FSS Phase 1 Assumptions'!M$23</f>
        <v>0</v>
      </c>
      <c r="N8" s="156">
        <f t="shared" ref="N8" si="0">SUM(B8:M8)</f>
        <v>0</v>
      </c>
      <c r="O8" s="129">
        <f>'FSS Phase 1 Assumptions'!$C9*'FSS Phase 1 Assumptions'!$F9/12*'FSS Phase 1 Assumptions'!B$27</f>
        <v>0</v>
      </c>
      <c r="P8" s="129">
        <f>'FSS Phase 1 Assumptions'!$C9*'FSS Phase 1 Assumptions'!$F9/12*'FSS Phase 1 Assumptions'!C$27</f>
        <v>0</v>
      </c>
      <c r="Q8" s="129">
        <f>'FSS Phase 1 Assumptions'!$C9*'FSS Phase 1 Assumptions'!$F9/12*'FSS Phase 1 Assumptions'!D$27</f>
        <v>0</v>
      </c>
      <c r="R8" s="129">
        <f>'FSS Phase 1 Assumptions'!$C9*'FSS Phase 1 Assumptions'!$F9/12*'FSS Phase 1 Assumptions'!E$27</f>
        <v>0</v>
      </c>
      <c r="S8" s="129">
        <f>'FSS Phase 1 Assumptions'!$C9*'FSS Phase 1 Assumptions'!$F9/12*'FSS Phase 1 Assumptions'!F$27</f>
        <v>0</v>
      </c>
      <c r="T8" s="129">
        <f>'FSS Phase 1 Assumptions'!$C9*'FSS Phase 1 Assumptions'!$F9/12*'FSS Phase 1 Assumptions'!G$27</f>
        <v>0</v>
      </c>
      <c r="U8" s="129">
        <f>'FSS Phase 1 Assumptions'!$C9*'FSS Phase 1 Assumptions'!$F9/12*'FSS Phase 1 Assumptions'!H$27</f>
        <v>0</v>
      </c>
      <c r="V8" s="129">
        <f>'FSS Phase 1 Assumptions'!$C9*'FSS Phase 1 Assumptions'!$F9/12*'FSS Phase 1 Assumptions'!I$27</f>
        <v>0</v>
      </c>
      <c r="W8" s="129">
        <f>'FSS Phase 1 Assumptions'!$C9*'FSS Phase 1 Assumptions'!$F9/12*'FSS Phase 1 Assumptions'!J$27</f>
        <v>0</v>
      </c>
      <c r="X8" s="129">
        <f>'FSS Phase 1 Assumptions'!$C9*'FSS Phase 1 Assumptions'!$F9/12*'FSS Phase 1 Assumptions'!K$27</f>
        <v>0</v>
      </c>
      <c r="Y8" s="129">
        <f>'FSS Phase 1 Assumptions'!$C9*'FSS Phase 1 Assumptions'!$F9/12*'FSS Phase 1 Assumptions'!L$27</f>
        <v>0</v>
      </c>
      <c r="Z8" s="129">
        <f>'FSS Phase 1 Assumptions'!$C9*'FSS Phase 1 Assumptions'!$F9/12*'FSS Phase 1 Assumptions'!M$27</f>
        <v>0</v>
      </c>
      <c r="AA8" s="59">
        <f>SUM(O8:Z8)</f>
        <v>0</v>
      </c>
      <c r="AB8" s="59">
        <f>Z8*12*'FSS Phase 1 Assumptions'!B$31</f>
        <v>0</v>
      </c>
      <c r="AC8" s="59">
        <f>AB8*'FSS Phase 1 Assumptions'!C$31</f>
        <v>0</v>
      </c>
      <c r="AD8" s="59">
        <f>AC8*'FSS Phase 1 Assumptions'!D$31</f>
        <v>0</v>
      </c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</row>
    <row r="9" spans="1:46" x14ac:dyDescent="0.2">
      <c r="A9" s="107" t="s">
        <v>152</v>
      </c>
      <c r="B9" s="129">
        <f>'FSS Phase 1 Assumptions'!$C10*'FSS Phase 1 Assumptions'!$F10/12*'FSS Phase 1 Assumptions'!B$23</f>
        <v>0</v>
      </c>
      <c r="C9" s="129">
        <f>'FSS Phase 1 Assumptions'!$C10*'FSS Phase 1 Assumptions'!$F10/12*'FSS Phase 1 Assumptions'!C$23</f>
        <v>0</v>
      </c>
      <c r="D9" s="129">
        <f>'FSS Phase 1 Assumptions'!$C10*'FSS Phase 1 Assumptions'!$F10/12*'FSS Phase 1 Assumptions'!D$23</f>
        <v>0</v>
      </c>
      <c r="E9" s="129">
        <f>'FSS Phase 1 Assumptions'!$C10*'FSS Phase 1 Assumptions'!$F10/12*'FSS Phase 1 Assumptions'!E$23</f>
        <v>0</v>
      </c>
      <c r="F9" s="129">
        <f>'FSS Phase 1 Assumptions'!$C10*'FSS Phase 1 Assumptions'!$F10/12*'FSS Phase 1 Assumptions'!F$23</f>
        <v>0</v>
      </c>
      <c r="G9" s="129">
        <f>'FSS Phase 1 Assumptions'!$C10*'FSS Phase 1 Assumptions'!$F10/12*'FSS Phase 1 Assumptions'!G$23</f>
        <v>0</v>
      </c>
      <c r="H9" s="129">
        <f>'FSS Phase 1 Assumptions'!$C10*'FSS Phase 1 Assumptions'!$F10/12*'FSS Phase 1 Assumptions'!H$23</f>
        <v>0</v>
      </c>
      <c r="I9" s="129">
        <f>'FSS Phase 1 Assumptions'!$C10*'FSS Phase 1 Assumptions'!$F10/12*'FSS Phase 1 Assumptions'!I$23</f>
        <v>0</v>
      </c>
      <c r="J9" s="129">
        <f>'FSS Phase 1 Assumptions'!$C10*'FSS Phase 1 Assumptions'!$F10/12*'FSS Phase 1 Assumptions'!J$23</f>
        <v>0</v>
      </c>
      <c r="K9" s="129">
        <f>'FSS Phase 1 Assumptions'!$C10*'FSS Phase 1 Assumptions'!$F10/12*'FSS Phase 1 Assumptions'!K$23</f>
        <v>0</v>
      </c>
      <c r="L9" s="129">
        <f>'FSS Phase 1 Assumptions'!$C10*'FSS Phase 1 Assumptions'!$F10/12*'FSS Phase 1 Assumptions'!L$23</f>
        <v>0</v>
      </c>
      <c r="M9" s="129">
        <f>'FSS Phase 1 Assumptions'!$C10*'FSS Phase 1 Assumptions'!$F10/12*'FSS Phase 1 Assumptions'!M$23</f>
        <v>0</v>
      </c>
      <c r="N9" s="156">
        <f t="shared" ref="N9:N11" si="1">SUM(B9:M9)</f>
        <v>0</v>
      </c>
      <c r="O9" s="129">
        <f>'FSS Phase 1 Assumptions'!$C10*'FSS Phase 1 Assumptions'!$F10/12*'FSS Phase 1 Assumptions'!B$27</f>
        <v>0</v>
      </c>
      <c r="P9" s="129">
        <f>'FSS Phase 1 Assumptions'!$C10*'FSS Phase 1 Assumptions'!$F10/12*'FSS Phase 1 Assumptions'!C$27</f>
        <v>0</v>
      </c>
      <c r="Q9" s="129">
        <f>'FSS Phase 1 Assumptions'!$C10*'FSS Phase 1 Assumptions'!$F10/12*'FSS Phase 1 Assumptions'!D$27</f>
        <v>0</v>
      </c>
      <c r="R9" s="129">
        <f>'FSS Phase 1 Assumptions'!$C10*'FSS Phase 1 Assumptions'!$F10/12*'FSS Phase 1 Assumptions'!E$27</f>
        <v>0</v>
      </c>
      <c r="S9" s="129">
        <f>'FSS Phase 1 Assumptions'!$C10*'FSS Phase 1 Assumptions'!$F10/12*'FSS Phase 1 Assumptions'!F$27</f>
        <v>0</v>
      </c>
      <c r="T9" s="129">
        <f>'FSS Phase 1 Assumptions'!$C10*'FSS Phase 1 Assumptions'!$F10/12*'FSS Phase 1 Assumptions'!G$27</f>
        <v>0</v>
      </c>
      <c r="U9" s="129">
        <f>'FSS Phase 1 Assumptions'!$C10*'FSS Phase 1 Assumptions'!$F10/12*'FSS Phase 1 Assumptions'!H$27</f>
        <v>0</v>
      </c>
      <c r="V9" s="129">
        <f>'FSS Phase 1 Assumptions'!$C10*'FSS Phase 1 Assumptions'!$F10/12*'FSS Phase 1 Assumptions'!I$27</f>
        <v>0</v>
      </c>
      <c r="W9" s="129">
        <f>'FSS Phase 1 Assumptions'!$C10*'FSS Phase 1 Assumptions'!$F10/12*'FSS Phase 1 Assumptions'!J$27</f>
        <v>0</v>
      </c>
      <c r="X9" s="129">
        <f>'FSS Phase 1 Assumptions'!$C10*'FSS Phase 1 Assumptions'!$F10/12*'FSS Phase 1 Assumptions'!K$27</f>
        <v>0</v>
      </c>
      <c r="Y9" s="129">
        <f>'FSS Phase 1 Assumptions'!$C10*'FSS Phase 1 Assumptions'!$F10/12*'FSS Phase 1 Assumptions'!L$27</f>
        <v>0</v>
      </c>
      <c r="Z9" s="129">
        <f>'FSS Phase 1 Assumptions'!$C10*'FSS Phase 1 Assumptions'!$F10/12*'FSS Phase 1 Assumptions'!M$27</f>
        <v>0</v>
      </c>
      <c r="AA9" s="59">
        <f>SUM(O9:Z9)</f>
        <v>0</v>
      </c>
      <c r="AB9" s="59">
        <f>Z9*12*'FSS Phase 1 Assumptions'!B$31</f>
        <v>0</v>
      </c>
      <c r="AC9" s="59">
        <f>AB9*'FSS Phase 1 Assumptions'!C$31</f>
        <v>0</v>
      </c>
      <c r="AD9" s="59">
        <f>AC9*'FSS Phase 1 Assumptions'!D$31</f>
        <v>0</v>
      </c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</row>
    <row r="10" spans="1:46" x14ac:dyDescent="0.2">
      <c r="A10" s="121" t="s">
        <v>160</v>
      </c>
      <c r="B10" s="129">
        <f>'FSS Phase 1 Assumptions'!$C11*'FSS Phase 1 Assumptions'!$F11/12*'FSS Phase 1 Assumptions'!B$23</f>
        <v>0</v>
      </c>
      <c r="C10" s="129">
        <f>'FSS Phase 1 Assumptions'!$C11*'FSS Phase 1 Assumptions'!$F11/12*'FSS Phase 1 Assumptions'!C$23</f>
        <v>0</v>
      </c>
      <c r="D10" s="129">
        <f>'FSS Phase 1 Assumptions'!$C11*'FSS Phase 1 Assumptions'!$F11/12*'FSS Phase 1 Assumptions'!D$23</f>
        <v>0</v>
      </c>
      <c r="E10" s="129">
        <f>'FSS Phase 1 Assumptions'!$C11*'FSS Phase 1 Assumptions'!$F11/12*'FSS Phase 1 Assumptions'!E$23</f>
        <v>0</v>
      </c>
      <c r="F10" s="129">
        <f>'FSS Phase 1 Assumptions'!$C11*'FSS Phase 1 Assumptions'!$F11/12*'FSS Phase 1 Assumptions'!F$23</f>
        <v>0</v>
      </c>
      <c r="G10" s="129">
        <f>'FSS Phase 1 Assumptions'!$C11*'FSS Phase 1 Assumptions'!$F11/12*'FSS Phase 1 Assumptions'!G$23</f>
        <v>0</v>
      </c>
      <c r="H10" s="129">
        <f>'FSS Phase 1 Assumptions'!$C11*'FSS Phase 1 Assumptions'!$F11/12*'FSS Phase 1 Assumptions'!H$23</f>
        <v>0</v>
      </c>
      <c r="I10" s="129">
        <f>'FSS Phase 1 Assumptions'!$C11*'FSS Phase 1 Assumptions'!$F11/12*'FSS Phase 1 Assumptions'!I$23</f>
        <v>0</v>
      </c>
      <c r="J10" s="129">
        <f>'FSS Phase 1 Assumptions'!$C11*'FSS Phase 1 Assumptions'!$F11/12*'FSS Phase 1 Assumptions'!J$23</f>
        <v>0</v>
      </c>
      <c r="K10" s="129">
        <f>'FSS Phase 1 Assumptions'!$C11*'FSS Phase 1 Assumptions'!$F11/12*'FSS Phase 1 Assumptions'!K$23</f>
        <v>0</v>
      </c>
      <c r="L10" s="129">
        <f>'FSS Phase 1 Assumptions'!$C11*'FSS Phase 1 Assumptions'!$F11/12*'FSS Phase 1 Assumptions'!L$23</f>
        <v>0</v>
      </c>
      <c r="M10" s="129">
        <f>'FSS Phase 1 Assumptions'!$C11*'FSS Phase 1 Assumptions'!$F11/12*'FSS Phase 1 Assumptions'!M$23</f>
        <v>0</v>
      </c>
      <c r="N10" s="156">
        <f t="shared" si="1"/>
        <v>0</v>
      </c>
      <c r="O10" s="129">
        <f>'FSS Phase 1 Assumptions'!$C11*'FSS Phase 1 Assumptions'!$F11/12*'FSS Phase 1 Assumptions'!B$27</f>
        <v>0</v>
      </c>
      <c r="P10" s="129">
        <f>'FSS Phase 1 Assumptions'!$C11*'FSS Phase 1 Assumptions'!$F11/12*'FSS Phase 1 Assumptions'!C$27</f>
        <v>0</v>
      </c>
      <c r="Q10" s="129">
        <f>'FSS Phase 1 Assumptions'!$C11*'FSS Phase 1 Assumptions'!$F11/12*'FSS Phase 1 Assumptions'!D$27</f>
        <v>0</v>
      </c>
      <c r="R10" s="129">
        <f>'FSS Phase 1 Assumptions'!$C11*'FSS Phase 1 Assumptions'!$F11/12*'FSS Phase 1 Assumptions'!E$27</f>
        <v>0</v>
      </c>
      <c r="S10" s="129">
        <f>'FSS Phase 1 Assumptions'!$C11*'FSS Phase 1 Assumptions'!$F11/12*'FSS Phase 1 Assumptions'!F$27</f>
        <v>0</v>
      </c>
      <c r="T10" s="129">
        <f>'FSS Phase 1 Assumptions'!$C11*'FSS Phase 1 Assumptions'!$F11/12*'FSS Phase 1 Assumptions'!G$27</f>
        <v>0</v>
      </c>
      <c r="U10" s="129">
        <f>'FSS Phase 1 Assumptions'!$C11*'FSS Phase 1 Assumptions'!$F11/12*'FSS Phase 1 Assumptions'!H$27</f>
        <v>0</v>
      </c>
      <c r="V10" s="129">
        <f>'FSS Phase 1 Assumptions'!$C11*'FSS Phase 1 Assumptions'!$F11/12*'FSS Phase 1 Assumptions'!I$27</f>
        <v>0</v>
      </c>
      <c r="W10" s="129">
        <f>'FSS Phase 1 Assumptions'!$C11*'FSS Phase 1 Assumptions'!$F11/12*'FSS Phase 1 Assumptions'!J$27</f>
        <v>0</v>
      </c>
      <c r="X10" s="129">
        <f>'FSS Phase 1 Assumptions'!$C11*'FSS Phase 1 Assumptions'!$F11/12*'FSS Phase 1 Assumptions'!K$27</f>
        <v>0</v>
      </c>
      <c r="Y10" s="129">
        <f>'FSS Phase 1 Assumptions'!$C11*'FSS Phase 1 Assumptions'!$F11/12*'FSS Phase 1 Assumptions'!L$27</f>
        <v>0</v>
      </c>
      <c r="Z10" s="129">
        <f>'FSS Phase 1 Assumptions'!$C11*'FSS Phase 1 Assumptions'!$F11/12*'FSS Phase 1 Assumptions'!M$27</f>
        <v>0</v>
      </c>
      <c r="AA10" s="59">
        <f>SUM(O10:Z10)</f>
        <v>0</v>
      </c>
      <c r="AB10" s="59">
        <f>Z10*12*'FSS Phase 1 Assumptions'!B$31</f>
        <v>0</v>
      </c>
      <c r="AC10" s="59">
        <f>AB10*'FSS Phase 1 Assumptions'!C$31</f>
        <v>0</v>
      </c>
      <c r="AD10" s="59">
        <f>AC10*'FSS Phase 1 Assumptions'!D$31</f>
        <v>0</v>
      </c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</row>
    <row r="11" spans="1:46" x14ac:dyDescent="0.2">
      <c r="A11" s="52" t="s">
        <v>153</v>
      </c>
      <c r="B11" s="129">
        <f>'FSS Phase 1 Assumptions'!$C12*'FSS Phase 1 Assumptions'!$F12/12*'FSS Phase 1 Assumptions'!B$23</f>
        <v>0</v>
      </c>
      <c r="C11" s="129">
        <f>'FSS Phase 1 Assumptions'!$C12*'FSS Phase 1 Assumptions'!$F12/12*'FSS Phase 1 Assumptions'!C$23</f>
        <v>0</v>
      </c>
      <c r="D11" s="129">
        <f>'FSS Phase 1 Assumptions'!$C12*'FSS Phase 1 Assumptions'!$F12/12*'FSS Phase 1 Assumptions'!D$23</f>
        <v>0</v>
      </c>
      <c r="E11" s="129">
        <f>'FSS Phase 1 Assumptions'!$C12*'FSS Phase 1 Assumptions'!$F12/12*'FSS Phase 1 Assumptions'!E$23</f>
        <v>0</v>
      </c>
      <c r="F11" s="129">
        <f>'FSS Phase 1 Assumptions'!$C12*'FSS Phase 1 Assumptions'!$F12/12*'FSS Phase 1 Assumptions'!F$23</f>
        <v>0</v>
      </c>
      <c r="G11" s="129">
        <f>'FSS Phase 1 Assumptions'!$C12*'FSS Phase 1 Assumptions'!$F12/12*'FSS Phase 1 Assumptions'!G$23</f>
        <v>0</v>
      </c>
      <c r="H11" s="129">
        <f>'FSS Phase 1 Assumptions'!$C12*'FSS Phase 1 Assumptions'!$F12/12*'FSS Phase 1 Assumptions'!H$23</f>
        <v>0</v>
      </c>
      <c r="I11" s="129">
        <f>'FSS Phase 1 Assumptions'!$C12*'FSS Phase 1 Assumptions'!$F12/12*'FSS Phase 1 Assumptions'!I$23</f>
        <v>0</v>
      </c>
      <c r="J11" s="129">
        <f>'FSS Phase 1 Assumptions'!$C12*'FSS Phase 1 Assumptions'!$F12/12*'FSS Phase 1 Assumptions'!J$23</f>
        <v>0</v>
      </c>
      <c r="K11" s="129">
        <f>'FSS Phase 1 Assumptions'!$C12*'FSS Phase 1 Assumptions'!$F12/12*'FSS Phase 1 Assumptions'!K$23</f>
        <v>0</v>
      </c>
      <c r="L11" s="129">
        <f>'FSS Phase 1 Assumptions'!$C12*'FSS Phase 1 Assumptions'!$F12/12*'FSS Phase 1 Assumptions'!L$23</f>
        <v>0</v>
      </c>
      <c r="M11" s="129">
        <f>'FSS Phase 1 Assumptions'!$C12*'FSS Phase 1 Assumptions'!$F12/12*'FSS Phase 1 Assumptions'!M$23</f>
        <v>0</v>
      </c>
      <c r="N11" s="156">
        <f t="shared" si="1"/>
        <v>0</v>
      </c>
      <c r="O11" s="129">
        <f>'FSS Phase 1 Assumptions'!$C12*'FSS Phase 1 Assumptions'!$F12/12*'FSS Phase 1 Assumptions'!B$27</f>
        <v>0</v>
      </c>
      <c r="P11" s="129">
        <f>'FSS Phase 1 Assumptions'!$C12*'FSS Phase 1 Assumptions'!$F12/12*'FSS Phase 1 Assumptions'!C$27</f>
        <v>0</v>
      </c>
      <c r="Q11" s="129">
        <f>'FSS Phase 1 Assumptions'!$C12*'FSS Phase 1 Assumptions'!$F12/12*'FSS Phase 1 Assumptions'!D$27</f>
        <v>0</v>
      </c>
      <c r="R11" s="129">
        <f>'FSS Phase 1 Assumptions'!$C12*'FSS Phase 1 Assumptions'!$F12/12*'FSS Phase 1 Assumptions'!E$27</f>
        <v>0</v>
      </c>
      <c r="S11" s="129">
        <f>'FSS Phase 1 Assumptions'!$C12*'FSS Phase 1 Assumptions'!$F12/12*'FSS Phase 1 Assumptions'!F$27</f>
        <v>0</v>
      </c>
      <c r="T11" s="129">
        <f>'FSS Phase 1 Assumptions'!$C12*'FSS Phase 1 Assumptions'!$F12/12*'FSS Phase 1 Assumptions'!G$27</f>
        <v>0</v>
      </c>
      <c r="U11" s="129">
        <f>'FSS Phase 1 Assumptions'!$C12*'FSS Phase 1 Assumptions'!$F12/12*'FSS Phase 1 Assumptions'!H$27</f>
        <v>0</v>
      </c>
      <c r="V11" s="129">
        <f>'FSS Phase 1 Assumptions'!$C12*'FSS Phase 1 Assumptions'!$F12/12*'FSS Phase 1 Assumptions'!I$27</f>
        <v>0</v>
      </c>
      <c r="W11" s="129">
        <f>'FSS Phase 1 Assumptions'!$C12*'FSS Phase 1 Assumptions'!$F12/12*'FSS Phase 1 Assumptions'!J$27</f>
        <v>0</v>
      </c>
      <c r="X11" s="129">
        <f>'FSS Phase 1 Assumptions'!$C12*'FSS Phase 1 Assumptions'!$F12/12*'FSS Phase 1 Assumptions'!K$27</f>
        <v>0</v>
      </c>
      <c r="Y11" s="129">
        <f>'FSS Phase 1 Assumptions'!$C12*'FSS Phase 1 Assumptions'!$F12/12*'FSS Phase 1 Assumptions'!L$27</f>
        <v>0</v>
      </c>
      <c r="Z11" s="129">
        <f>'FSS Phase 1 Assumptions'!$C12*'FSS Phase 1 Assumptions'!$F12/12*'FSS Phase 1 Assumptions'!M$27</f>
        <v>0</v>
      </c>
      <c r="AA11" s="59">
        <f>SUM(O11:Z11)</f>
        <v>0</v>
      </c>
      <c r="AB11" s="59">
        <f>Z11*12*'FSS Phase 1 Assumptions'!B$31</f>
        <v>0</v>
      </c>
      <c r="AC11" s="59">
        <f>AB11*'FSS Phase 1 Assumptions'!C$31</f>
        <v>0</v>
      </c>
      <c r="AD11" s="59">
        <f>AC11*'FSS Phase 1 Assumptions'!D$31</f>
        <v>0</v>
      </c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</row>
    <row r="12" spans="1:46" ht="6" customHeight="1" x14ac:dyDescent="0.2">
      <c r="A12" s="62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57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2"/>
      <c r="AB12" s="132"/>
      <c r="AC12" s="132"/>
      <c r="AD12" s="132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</row>
    <row r="13" spans="1:46" s="71" customFormat="1" collapsed="1" x14ac:dyDescent="0.2">
      <c r="A13" s="69" t="s">
        <v>162</v>
      </c>
      <c r="B13" s="70">
        <f t="shared" ref="B13:N13" si="2">SUM(B8:B12)</f>
        <v>0</v>
      </c>
      <c r="C13" s="70">
        <f t="shared" si="2"/>
        <v>0</v>
      </c>
      <c r="D13" s="70">
        <f t="shared" si="2"/>
        <v>0</v>
      </c>
      <c r="E13" s="70">
        <f t="shared" si="2"/>
        <v>0</v>
      </c>
      <c r="F13" s="70">
        <f t="shared" si="2"/>
        <v>0</v>
      </c>
      <c r="G13" s="70">
        <f t="shared" si="2"/>
        <v>0</v>
      </c>
      <c r="H13" s="70">
        <f t="shared" si="2"/>
        <v>0</v>
      </c>
      <c r="I13" s="70">
        <f t="shared" si="2"/>
        <v>0</v>
      </c>
      <c r="J13" s="70">
        <f t="shared" si="2"/>
        <v>0</v>
      </c>
      <c r="K13" s="70">
        <f t="shared" si="2"/>
        <v>0</v>
      </c>
      <c r="L13" s="70">
        <f t="shared" si="2"/>
        <v>0</v>
      </c>
      <c r="M13" s="70">
        <f t="shared" si="2"/>
        <v>0</v>
      </c>
      <c r="N13" s="70">
        <f t="shared" si="2"/>
        <v>0</v>
      </c>
      <c r="O13" s="70">
        <f t="shared" ref="O13:Z13" si="3">SUM(O8:O12)</f>
        <v>0</v>
      </c>
      <c r="P13" s="70">
        <f t="shared" si="3"/>
        <v>0</v>
      </c>
      <c r="Q13" s="70">
        <f t="shared" si="3"/>
        <v>0</v>
      </c>
      <c r="R13" s="70">
        <f t="shared" si="3"/>
        <v>0</v>
      </c>
      <c r="S13" s="70">
        <f t="shared" si="3"/>
        <v>0</v>
      </c>
      <c r="T13" s="70">
        <f t="shared" si="3"/>
        <v>0</v>
      </c>
      <c r="U13" s="70">
        <f t="shared" si="3"/>
        <v>0</v>
      </c>
      <c r="V13" s="70">
        <f t="shared" si="3"/>
        <v>0</v>
      </c>
      <c r="W13" s="70">
        <f t="shared" si="3"/>
        <v>0</v>
      </c>
      <c r="X13" s="70">
        <f t="shared" si="3"/>
        <v>0</v>
      </c>
      <c r="Y13" s="70">
        <f t="shared" si="3"/>
        <v>0</v>
      </c>
      <c r="Z13" s="70">
        <f t="shared" si="3"/>
        <v>0</v>
      </c>
      <c r="AA13" s="81">
        <f>SUM(AA8:AA12)</f>
        <v>0</v>
      </c>
      <c r="AB13" s="81">
        <f>SUM(AB8:AB12)</f>
        <v>0</v>
      </c>
      <c r="AC13" s="81">
        <f>SUM(AC8:AC12)</f>
        <v>0</v>
      </c>
      <c r="AD13" s="81">
        <f>SUM(AD8:AD12)</f>
        <v>0</v>
      </c>
    </row>
    <row r="14" spans="1:46" s="73" customFormat="1" x14ac:dyDescent="0.2">
      <c r="A14" s="61" t="s">
        <v>445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0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150"/>
      <c r="AB14" s="150"/>
      <c r="AC14" s="150"/>
      <c r="AD14" s="150"/>
    </row>
    <row r="15" spans="1:46" x14ac:dyDescent="0.2">
      <c r="A15" s="107" t="s">
        <v>425</v>
      </c>
      <c r="B15" s="129">
        <f>'FSS Phase 1 Assumptions'!$D9*'FSS Phase 1 Assumptions'!$E9*'FSS Phase 1 Assumptions'!B$23*'FSS Phase 1 Assumptions'!B$24</f>
        <v>0</v>
      </c>
      <c r="C15" s="129">
        <f>'FSS Phase 1 Assumptions'!$D9*'FSS Phase 1 Assumptions'!$E9*'FSS Phase 1 Assumptions'!C$23*'FSS Phase 1 Assumptions'!C$24</f>
        <v>0</v>
      </c>
      <c r="D15" s="129">
        <f>'FSS Phase 1 Assumptions'!$D9*'FSS Phase 1 Assumptions'!$E9*'FSS Phase 1 Assumptions'!D$23*'FSS Phase 1 Assumptions'!D$24</f>
        <v>208000</v>
      </c>
      <c r="E15" s="129">
        <f>'FSS Phase 1 Assumptions'!$D9*'FSS Phase 1 Assumptions'!$E9*'FSS Phase 1 Assumptions'!E$23*'FSS Phase 1 Assumptions'!E$24</f>
        <v>416000</v>
      </c>
      <c r="F15" s="129">
        <f>'FSS Phase 1 Assumptions'!$D9*'FSS Phase 1 Assumptions'!$E9*'FSS Phase 1 Assumptions'!F$23*'FSS Phase 1 Assumptions'!F$24</f>
        <v>624000</v>
      </c>
      <c r="G15" s="129">
        <f>'FSS Phase 1 Assumptions'!$D9*'FSS Phase 1 Assumptions'!$E9*'FSS Phase 1 Assumptions'!G$23*'FSS Phase 1 Assumptions'!G$24</f>
        <v>832000</v>
      </c>
      <c r="H15" s="129">
        <f>'FSS Phase 1 Assumptions'!$D9*'FSS Phase 1 Assumptions'!$E9*'FSS Phase 1 Assumptions'!H$23*'FSS Phase 1 Assumptions'!H$24</f>
        <v>1040000</v>
      </c>
      <c r="I15" s="129">
        <f>'FSS Phase 1 Assumptions'!$D9*'FSS Phase 1 Assumptions'!$E9*'FSS Phase 1 Assumptions'!I$23*'FSS Phase 1 Assumptions'!I$24</f>
        <v>1248000</v>
      </c>
      <c r="J15" s="129">
        <f>'FSS Phase 1 Assumptions'!$D9*'FSS Phase 1 Assumptions'!$E9*'FSS Phase 1 Assumptions'!J$23*'FSS Phase 1 Assumptions'!J$24</f>
        <v>1456000</v>
      </c>
      <c r="K15" s="129">
        <f>'FSS Phase 1 Assumptions'!$D9*'FSS Phase 1 Assumptions'!$E9*'FSS Phase 1 Assumptions'!K$23*'FSS Phase 1 Assumptions'!K$24</f>
        <v>1664000</v>
      </c>
      <c r="L15" s="129">
        <f>'FSS Phase 1 Assumptions'!$D9*'FSS Phase 1 Assumptions'!$E9*'FSS Phase 1 Assumptions'!L$23*'FSS Phase 1 Assumptions'!L$24</f>
        <v>1872000</v>
      </c>
      <c r="M15" s="129">
        <f>'FSS Phase 1 Assumptions'!$D9*'FSS Phase 1 Assumptions'!$E9*'FSS Phase 1 Assumptions'!M$23*'FSS Phase 1 Assumptions'!M$24</f>
        <v>1872000</v>
      </c>
      <c r="N15" s="158">
        <f t="shared" ref="N15:N19" si="4">SUM(B15:M15)</f>
        <v>11232000</v>
      </c>
      <c r="O15" s="129">
        <f>'FSS Phase 1 Assumptions'!$D9*'FSS Phase 1 Assumptions'!$E9*'FSS Phase 1 Assumptions'!B$27*'FSS Phase 1 Assumptions'!B$28</f>
        <v>1872000</v>
      </c>
      <c r="P15" s="129">
        <f>'FSS Phase 1 Assumptions'!$D9*'FSS Phase 1 Assumptions'!$E9*'FSS Phase 1 Assumptions'!C$27*'FSS Phase 1 Assumptions'!C$28</f>
        <v>1872000</v>
      </c>
      <c r="Q15" s="129">
        <f>'FSS Phase 1 Assumptions'!$D9*'FSS Phase 1 Assumptions'!$E9*'FSS Phase 1 Assumptions'!D$27*'FSS Phase 1 Assumptions'!D$28</f>
        <v>1872000</v>
      </c>
      <c r="R15" s="129">
        <f>'FSS Phase 1 Assumptions'!$D9*'FSS Phase 1 Assumptions'!$E9*'FSS Phase 1 Assumptions'!E$27*'FSS Phase 1 Assumptions'!E$28</f>
        <v>1872000</v>
      </c>
      <c r="S15" s="129">
        <f>'FSS Phase 1 Assumptions'!$D9*'FSS Phase 1 Assumptions'!$E9*'FSS Phase 1 Assumptions'!F$27*'FSS Phase 1 Assumptions'!F$28</f>
        <v>1872000</v>
      </c>
      <c r="T15" s="129">
        <f>'FSS Phase 1 Assumptions'!$D9*'FSS Phase 1 Assumptions'!$E9*'FSS Phase 1 Assumptions'!G$27*'FSS Phase 1 Assumptions'!G$28</f>
        <v>1872000</v>
      </c>
      <c r="U15" s="129">
        <f>'FSS Phase 1 Assumptions'!$D9*'FSS Phase 1 Assumptions'!$E9*'FSS Phase 1 Assumptions'!H$27*'FSS Phase 1 Assumptions'!H$28</f>
        <v>1872000</v>
      </c>
      <c r="V15" s="129">
        <f>'FSS Phase 1 Assumptions'!$D9*'FSS Phase 1 Assumptions'!$E9*'FSS Phase 1 Assumptions'!I$27*'FSS Phase 1 Assumptions'!I$28</f>
        <v>1872000</v>
      </c>
      <c r="W15" s="129">
        <f>'FSS Phase 1 Assumptions'!$D9*'FSS Phase 1 Assumptions'!$E9*'FSS Phase 1 Assumptions'!J$27*'FSS Phase 1 Assumptions'!J$28</f>
        <v>1872000</v>
      </c>
      <c r="X15" s="129">
        <f>'FSS Phase 1 Assumptions'!$D9*'FSS Phase 1 Assumptions'!$E9*'FSS Phase 1 Assumptions'!K$27*'FSS Phase 1 Assumptions'!K$28</f>
        <v>1872000</v>
      </c>
      <c r="Y15" s="129">
        <f>'FSS Phase 1 Assumptions'!$D9*'FSS Phase 1 Assumptions'!$E9*'FSS Phase 1 Assumptions'!L$27*'FSS Phase 1 Assumptions'!L$28</f>
        <v>1872000</v>
      </c>
      <c r="Z15" s="129">
        <f>'FSS Phase 1 Assumptions'!$D9*'FSS Phase 1 Assumptions'!$E9*'FSS Phase 1 Assumptions'!M$27*'FSS Phase 1 Assumptions'!M$28</f>
        <v>1872000</v>
      </c>
      <c r="AA15" s="59">
        <f>SUM(O15:Z15)</f>
        <v>22464000</v>
      </c>
      <c r="AB15" s="59">
        <f>Z15*12*(1+'FSS Phase 1 Assumptions'!B$31)</f>
        <v>23137920</v>
      </c>
      <c r="AC15" s="59">
        <f>AB15*(1+'FSS Phase 1 Assumptions'!C$31)</f>
        <v>23832057.600000001</v>
      </c>
      <c r="AD15" s="59">
        <f>AC15*(1+'FSS Phase 1 Assumptions'!D$31)</f>
        <v>24547019.328000002</v>
      </c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</row>
    <row r="16" spans="1:46" x14ac:dyDescent="0.2">
      <c r="A16" s="107" t="s">
        <v>152</v>
      </c>
      <c r="B16" s="129">
        <f>'FSS Phase 1 Assumptions'!$D10*'FSS Phase 1 Assumptions'!$E10*'FSS Phase 1 Assumptions'!B$23*'FSS Phase 1 Assumptions'!B$24</f>
        <v>0</v>
      </c>
      <c r="C16" s="129">
        <f>'FSS Phase 1 Assumptions'!$D10*'FSS Phase 1 Assumptions'!$E10*'FSS Phase 1 Assumptions'!C$23*'FSS Phase 1 Assumptions'!C$24</f>
        <v>0</v>
      </c>
      <c r="D16" s="129">
        <f>'FSS Phase 1 Assumptions'!$D10*'FSS Phase 1 Assumptions'!$E10*'FSS Phase 1 Assumptions'!D$23*'FSS Phase 1 Assumptions'!D$24</f>
        <v>855800</v>
      </c>
      <c r="E16" s="129">
        <f>'FSS Phase 1 Assumptions'!$D10*'FSS Phase 1 Assumptions'!$E10*'FSS Phase 1 Assumptions'!E$23*'FSS Phase 1 Assumptions'!E$24</f>
        <v>1711600</v>
      </c>
      <c r="F16" s="129">
        <f>'FSS Phase 1 Assumptions'!$D10*'FSS Phase 1 Assumptions'!$E10*'FSS Phase 1 Assumptions'!F$23*'FSS Phase 1 Assumptions'!F$24</f>
        <v>2567400</v>
      </c>
      <c r="G16" s="129">
        <f>'FSS Phase 1 Assumptions'!$D10*'FSS Phase 1 Assumptions'!$E10*'FSS Phase 1 Assumptions'!G$23*'FSS Phase 1 Assumptions'!G$24</f>
        <v>3423200</v>
      </c>
      <c r="H16" s="129">
        <f>'FSS Phase 1 Assumptions'!$D10*'FSS Phase 1 Assumptions'!$E10*'FSS Phase 1 Assumptions'!H$23*'FSS Phase 1 Assumptions'!H$24</f>
        <v>4279000</v>
      </c>
      <c r="I16" s="129">
        <f>'FSS Phase 1 Assumptions'!$D10*'FSS Phase 1 Assumptions'!$E10*'FSS Phase 1 Assumptions'!I$23*'FSS Phase 1 Assumptions'!I$24</f>
        <v>5134800</v>
      </c>
      <c r="J16" s="129">
        <f>'FSS Phase 1 Assumptions'!$D10*'FSS Phase 1 Assumptions'!$E10*'FSS Phase 1 Assumptions'!J$23*'FSS Phase 1 Assumptions'!J$24</f>
        <v>5990600</v>
      </c>
      <c r="K16" s="129">
        <f>'FSS Phase 1 Assumptions'!$D10*'FSS Phase 1 Assumptions'!$E10*'FSS Phase 1 Assumptions'!K$23*'FSS Phase 1 Assumptions'!K$24</f>
        <v>6846400</v>
      </c>
      <c r="L16" s="129">
        <f>'FSS Phase 1 Assumptions'!$D10*'FSS Phase 1 Assumptions'!$E10*'FSS Phase 1 Assumptions'!L$23*'FSS Phase 1 Assumptions'!L$24</f>
        <v>7702200</v>
      </c>
      <c r="M16" s="129">
        <f>'FSS Phase 1 Assumptions'!$D10*'FSS Phase 1 Assumptions'!$E10*'FSS Phase 1 Assumptions'!M$23*'FSS Phase 1 Assumptions'!M$24</f>
        <v>7702200</v>
      </c>
      <c r="N16" s="158">
        <f t="shared" si="4"/>
        <v>46213200</v>
      </c>
      <c r="O16" s="129">
        <f>'FSS Phase 1 Assumptions'!$D10*'FSS Phase 1 Assumptions'!$E10*'FSS Phase 1 Assumptions'!B$27*'FSS Phase 1 Assumptions'!B$28</f>
        <v>7702200</v>
      </c>
      <c r="P16" s="129">
        <f>'FSS Phase 1 Assumptions'!$D10*'FSS Phase 1 Assumptions'!$E10*'FSS Phase 1 Assumptions'!C$27*'FSS Phase 1 Assumptions'!C$28</f>
        <v>7702200</v>
      </c>
      <c r="Q16" s="129">
        <f>'FSS Phase 1 Assumptions'!$D10*'FSS Phase 1 Assumptions'!$E10*'FSS Phase 1 Assumptions'!D$27*'FSS Phase 1 Assumptions'!D$28</f>
        <v>7702200</v>
      </c>
      <c r="R16" s="129">
        <f>'FSS Phase 1 Assumptions'!$D10*'FSS Phase 1 Assumptions'!$E10*'FSS Phase 1 Assumptions'!E$27*'FSS Phase 1 Assumptions'!E$28</f>
        <v>7702200</v>
      </c>
      <c r="S16" s="129">
        <f>'FSS Phase 1 Assumptions'!$D10*'FSS Phase 1 Assumptions'!$E10*'FSS Phase 1 Assumptions'!F$27*'FSS Phase 1 Assumptions'!F$28</f>
        <v>7702200</v>
      </c>
      <c r="T16" s="129">
        <f>'FSS Phase 1 Assumptions'!$D10*'FSS Phase 1 Assumptions'!$E10*'FSS Phase 1 Assumptions'!G$27*'FSS Phase 1 Assumptions'!G$28</f>
        <v>7702200</v>
      </c>
      <c r="U16" s="129">
        <f>'FSS Phase 1 Assumptions'!$D10*'FSS Phase 1 Assumptions'!$E10*'FSS Phase 1 Assumptions'!H$27*'FSS Phase 1 Assumptions'!H$28</f>
        <v>7702200</v>
      </c>
      <c r="V16" s="129">
        <f>'FSS Phase 1 Assumptions'!$D10*'FSS Phase 1 Assumptions'!$E10*'FSS Phase 1 Assumptions'!I$27*'FSS Phase 1 Assumptions'!I$28</f>
        <v>7702200</v>
      </c>
      <c r="W16" s="129">
        <f>'FSS Phase 1 Assumptions'!$D10*'FSS Phase 1 Assumptions'!$E10*'FSS Phase 1 Assumptions'!J$27*'FSS Phase 1 Assumptions'!J$28</f>
        <v>7702200</v>
      </c>
      <c r="X16" s="129">
        <f>'FSS Phase 1 Assumptions'!$D10*'FSS Phase 1 Assumptions'!$E10*'FSS Phase 1 Assumptions'!K$27*'FSS Phase 1 Assumptions'!K$28</f>
        <v>7702200</v>
      </c>
      <c r="Y16" s="129">
        <f>'FSS Phase 1 Assumptions'!$D10*'FSS Phase 1 Assumptions'!$E10*'FSS Phase 1 Assumptions'!L$27*'FSS Phase 1 Assumptions'!L$28</f>
        <v>7702200</v>
      </c>
      <c r="Z16" s="129">
        <f>'FSS Phase 1 Assumptions'!$D10*'FSS Phase 1 Assumptions'!$E10*'FSS Phase 1 Assumptions'!M$27*'FSS Phase 1 Assumptions'!M$28</f>
        <v>7702200</v>
      </c>
      <c r="AA16" s="59">
        <f>SUM(O16:Z16)</f>
        <v>92426400</v>
      </c>
      <c r="AB16" s="59">
        <f>Z16*12*(1+'FSS Phase 1 Assumptions'!B$31)</f>
        <v>95199192</v>
      </c>
      <c r="AC16" s="59">
        <f>AA16*(1+'FSS Phase 1 Assumptions'!C$31)</f>
        <v>95199192</v>
      </c>
      <c r="AD16" s="59">
        <f>AC16*(1+'FSS Phase 1 Assumptions'!D$31)</f>
        <v>98055167.760000005</v>
      </c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</row>
    <row r="17" spans="1:46" x14ac:dyDescent="0.2">
      <c r="A17" s="121" t="s">
        <v>160</v>
      </c>
      <c r="B17" s="129">
        <f>'FSS Phase 1 Assumptions'!$D11*'FSS Phase 1 Assumptions'!$E11*'FSS Phase 1 Assumptions'!B$23*'FSS Phase 1 Assumptions'!B$24</f>
        <v>0</v>
      </c>
      <c r="C17" s="129">
        <f>'FSS Phase 1 Assumptions'!$D11*'FSS Phase 1 Assumptions'!$E11*'FSS Phase 1 Assumptions'!C$23*'FSS Phase 1 Assumptions'!C$24</f>
        <v>0</v>
      </c>
      <c r="D17" s="129">
        <f>'FSS Phase 1 Assumptions'!$D11*'FSS Phase 1 Assumptions'!$E11*'FSS Phase 1 Assumptions'!D$23*'FSS Phase 1 Assumptions'!D$24</f>
        <v>200000</v>
      </c>
      <c r="E17" s="129">
        <f>'FSS Phase 1 Assumptions'!$D11*'FSS Phase 1 Assumptions'!$E11*'FSS Phase 1 Assumptions'!E$23*'FSS Phase 1 Assumptions'!E$24</f>
        <v>400000</v>
      </c>
      <c r="F17" s="129">
        <f>'FSS Phase 1 Assumptions'!$D11*'FSS Phase 1 Assumptions'!$E11*'FSS Phase 1 Assumptions'!F$23*'FSS Phase 1 Assumptions'!F$24</f>
        <v>600000</v>
      </c>
      <c r="G17" s="129">
        <f>'FSS Phase 1 Assumptions'!$D11*'FSS Phase 1 Assumptions'!$E11*'FSS Phase 1 Assumptions'!G$23*'FSS Phase 1 Assumptions'!G$24</f>
        <v>800000</v>
      </c>
      <c r="H17" s="129">
        <f>'FSS Phase 1 Assumptions'!$D11*'FSS Phase 1 Assumptions'!$E11*'FSS Phase 1 Assumptions'!H$23*'FSS Phase 1 Assumptions'!H$24</f>
        <v>1000000</v>
      </c>
      <c r="I17" s="129">
        <f>'FSS Phase 1 Assumptions'!$D11*'FSS Phase 1 Assumptions'!$E11*'FSS Phase 1 Assumptions'!I$23*'FSS Phase 1 Assumptions'!I$24</f>
        <v>1200000</v>
      </c>
      <c r="J17" s="129">
        <f>'FSS Phase 1 Assumptions'!$D11*'FSS Phase 1 Assumptions'!$E11*'FSS Phase 1 Assumptions'!J$23*'FSS Phase 1 Assumptions'!J$24</f>
        <v>1400000</v>
      </c>
      <c r="K17" s="129">
        <f>'FSS Phase 1 Assumptions'!$D11*'FSS Phase 1 Assumptions'!$E11*'FSS Phase 1 Assumptions'!K$23*'FSS Phase 1 Assumptions'!K$24</f>
        <v>1600000</v>
      </c>
      <c r="L17" s="129">
        <f>'FSS Phase 1 Assumptions'!$D11*'FSS Phase 1 Assumptions'!$E11*'FSS Phase 1 Assumptions'!L$23*'FSS Phase 1 Assumptions'!L$24</f>
        <v>1800000</v>
      </c>
      <c r="M17" s="129">
        <f>'FSS Phase 1 Assumptions'!$D11*'FSS Phase 1 Assumptions'!$E11*'FSS Phase 1 Assumptions'!M$23*'FSS Phase 1 Assumptions'!M$24</f>
        <v>1800000</v>
      </c>
      <c r="N17" s="158">
        <f t="shared" si="4"/>
        <v>10800000</v>
      </c>
      <c r="O17" s="129">
        <f>'FSS Phase 1 Assumptions'!$D11*'FSS Phase 1 Assumptions'!$E11*'FSS Phase 1 Assumptions'!B$27*'FSS Phase 1 Assumptions'!B$28</f>
        <v>1800000</v>
      </c>
      <c r="P17" s="129">
        <f>'FSS Phase 1 Assumptions'!$D11*'FSS Phase 1 Assumptions'!$E11*'FSS Phase 1 Assumptions'!C$27*'FSS Phase 1 Assumptions'!C$28</f>
        <v>1800000</v>
      </c>
      <c r="Q17" s="129">
        <f>'FSS Phase 1 Assumptions'!$D11*'FSS Phase 1 Assumptions'!$E11*'FSS Phase 1 Assumptions'!D$27*'FSS Phase 1 Assumptions'!D$28</f>
        <v>1800000</v>
      </c>
      <c r="R17" s="129">
        <f>'FSS Phase 1 Assumptions'!$D11*'FSS Phase 1 Assumptions'!$E11*'FSS Phase 1 Assumptions'!E$27*'FSS Phase 1 Assumptions'!E$28</f>
        <v>1800000</v>
      </c>
      <c r="S17" s="129">
        <f>'FSS Phase 1 Assumptions'!$D11*'FSS Phase 1 Assumptions'!$E11*'FSS Phase 1 Assumptions'!F$27*'FSS Phase 1 Assumptions'!F$28</f>
        <v>1800000</v>
      </c>
      <c r="T17" s="129">
        <f>'FSS Phase 1 Assumptions'!$D11*'FSS Phase 1 Assumptions'!$E11*'FSS Phase 1 Assumptions'!G$27*'FSS Phase 1 Assumptions'!G$28</f>
        <v>1800000</v>
      </c>
      <c r="U17" s="129">
        <f>'FSS Phase 1 Assumptions'!$D11*'FSS Phase 1 Assumptions'!$E11*'FSS Phase 1 Assumptions'!H$27*'FSS Phase 1 Assumptions'!H$28</f>
        <v>1800000</v>
      </c>
      <c r="V17" s="129">
        <f>'FSS Phase 1 Assumptions'!$D11*'FSS Phase 1 Assumptions'!$E11*'FSS Phase 1 Assumptions'!I$27*'FSS Phase 1 Assumptions'!I$28</f>
        <v>1800000</v>
      </c>
      <c r="W17" s="129">
        <f>'FSS Phase 1 Assumptions'!$D11*'FSS Phase 1 Assumptions'!$E11*'FSS Phase 1 Assumptions'!J$27*'FSS Phase 1 Assumptions'!J$28</f>
        <v>1800000</v>
      </c>
      <c r="X17" s="129">
        <f>'FSS Phase 1 Assumptions'!$D11*'FSS Phase 1 Assumptions'!$E11*'FSS Phase 1 Assumptions'!K$27*'FSS Phase 1 Assumptions'!K$28</f>
        <v>1800000</v>
      </c>
      <c r="Y17" s="129">
        <f>'FSS Phase 1 Assumptions'!$D11*'FSS Phase 1 Assumptions'!$E11*'FSS Phase 1 Assumptions'!L$27*'FSS Phase 1 Assumptions'!L$28</f>
        <v>1800000</v>
      </c>
      <c r="Z17" s="129">
        <f>'FSS Phase 1 Assumptions'!$D11*'FSS Phase 1 Assumptions'!$E11*'FSS Phase 1 Assumptions'!M$27*'FSS Phase 1 Assumptions'!M$28</f>
        <v>1800000</v>
      </c>
      <c r="AA17" s="59">
        <f>SUM(O17:Z17)</f>
        <v>21600000</v>
      </c>
      <c r="AB17" s="59">
        <f>Z17*12*(1+'FSS Phase 1 Assumptions'!B$31)</f>
        <v>22248000</v>
      </c>
      <c r="AC17" s="59">
        <f>AA17*(1+'FSS Phase 1 Assumptions'!C$31)</f>
        <v>22248000</v>
      </c>
      <c r="AD17" s="59">
        <f>AC17*(1+'FSS Phase 1 Assumptions'!D$31)</f>
        <v>22915440</v>
      </c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</row>
    <row r="18" spans="1:46" x14ac:dyDescent="0.2">
      <c r="A18" s="52" t="s">
        <v>153</v>
      </c>
      <c r="B18" s="129">
        <f>'FSS Phase 1 Assumptions'!$D12*'FSS Phase 1 Assumptions'!$E12*'FSS Phase 1 Assumptions'!B$23*'FSS Phase 1 Assumptions'!B$24</f>
        <v>0</v>
      </c>
      <c r="C18" s="129">
        <f>'FSS Phase 1 Assumptions'!$D12*'FSS Phase 1 Assumptions'!$E12*'FSS Phase 1 Assumptions'!C$23*'FSS Phase 1 Assumptions'!C$24</f>
        <v>0</v>
      </c>
      <c r="D18" s="129">
        <f>'FSS Phase 1 Assumptions'!$D12*'FSS Phase 1 Assumptions'!$E12*'FSS Phase 1 Assumptions'!D$23*'FSS Phase 1 Assumptions'!D$24</f>
        <v>168000</v>
      </c>
      <c r="E18" s="129">
        <f>'FSS Phase 1 Assumptions'!$D12*'FSS Phase 1 Assumptions'!$E12*'FSS Phase 1 Assumptions'!E$23*'FSS Phase 1 Assumptions'!E$24</f>
        <v>336000</v>
      </c>
      <c r="F18" s="129">
        <f>'FSS Phase 1 Assumptions'!$D12*'FSS Phase 1 Assumptions'!$E12*'FSS Phase 1 Assumptions'!F$23*'FSS Phase 1 Assumptions'!F$24</f>
        <v>504000</v>
      </c>
      <c r="G18" s="129">
        <f>'FSS Phase 1 Assumptions'!$D12*'FSS Phase 1 Assumptions'!$E12*'FSS Phase 1 Assumptions'!G$23*'FSS Phase 1 Assumptions'!G$24</f>
        <v>672000</v>
      </c>
      <c r="H18" s="129">
        <f>'FSS Phase 1 Assumptions'!$D12*'FSS Phase 1 Assumptions'!$E12*'FSS Phase 1 Assumptions'!H$23*'FSS Phase 1 Assumptions'!H$24</f>
        <v>840000</v>
      </c>
      <c r="I18" s="129">
        <f>'FSS Phase 1 Assumptions'!$D12*'FSS Phase 1 Assumptions'!$E12*'FSS Phase 1 Assumptions'!I$23*'FSS Phase 1 Assumptions'!I$24</f>
        <v>1008000</v>
      </c>
      <c r="J18" s="129">
        <f>'FSS Phase 1 Assumptions'!$D12*'FSS Phase 1 Assumptions'!$E12*'FSS Phase 1 Assumptions'!J$23*'FSS Phase 1 Assumptions'!J$24</f>
        <v>1176000</v>
      </c>
      <c r="K18" s="129">
        <f>'FSS Phase 1 Assumptions'!$D12*'FSS Phase 1 Assumptions'!$E12*'FSS Phase 1 Assumptions'!K$23*'FSS Phase 1 Assumptions'!K$24</f>
        <v>1344000</v>
      </c>
      <c r="L18" s="129">
        <f>'FSS Phase 1 Assumptions'!$D12*'FSS Phase 1 Assumptions'!$E12*'FSS Phase 1 Assumptions'!L$23*'FSS Phase 1 Assumptions'!L$24</f>
        <v>1512000</v>
      </c>
      <c r="M18" s="129">
        <f>'FSS Phase 1 Assumptions'!$D12*'FSS Phase 1 Assumptions'!$E12*'FSS Phase 1 Assumptions'!M$23*'FSS Phase 1 Assumptions'!M$24</f>
        <v>1512000</v>
      </c>
      <c r="N18" s="158">
        <f t="shared" si="4"/>
        <v>9072000</v>
      </c>
      <c r="O18" s="129">
        <f>'FSS Phase 1 Assumptions'!$D12*'FSS Phase 1 Assumptions'!$E12*'FSS Phase 1 Assumptions'!B$27*'FSS Phase 1 Assumptions'!B$28</f>
        <v>1512000</v>
      </c>
      <c r="P18" s="129">
        <f>'FSS Phase 1 Assumptions'!$D12*'FSS Phase 1 Assumptions'!$E12*'FSS Phase 1 Assumptions'!C$27*'FSS Phase 1 Assumptions'!C$28</f>
        <v>1512000</v>
      </c>
      <c r="Q18" s="129">
        <f>'FSS Phase 1 Assumptions'!$D12*'FSS Phase 1 Assumptions'!$E12*'FSS Phase 1 Assumptions'!D$27*'FSS Phase 1 Assumptions'!D$28</f>
        <v>1512000</v>
      </c>
      <c r="R18" s="129">
        <f>'FSS Phase 1 Assumptions'!$D12*'FSS Phase 1 Assumptions'!$E12*'FSS Phase 1 Assumptions'!E$27*'FSS Phase 1 Assumptions'!E$28</f>
        <v>1512000</v>
      </c>
      <c r="S18" s="129">
        <f>'FSS Phase 1 Assumptions'!$D12*'FSS Phase 1 Assumptions'!$E12*'FSS Phase 1 Assumptions'!F$27*'FSS Phase 1 Assumptions'!F$28</f>
        <v>1512000</v>
      </c>
      <c r="T18" s="129">
        <f>'FSS Phase 1 Assumptions'!$D12*'FSS Phase 1 Assumptions'!$E12*'FSS Phase 1 Assumptions'!G$27*'FSS Phase 1 Assumptions'!G$28</f>
        <v>1512000</v>
      </c>
      <c r="U18" s="129">
        <f>'FSS Phase 1 Assumptions'!$D12*'FSS Phase 1 Assumptions'!$E12*'FSS Phase 1 Assumptions'!H$27*'FSS Phase 1 Assumptions'!H$28</f>
        <v>1512000</v>
      </c>
      <c r="V18" s="129">
        <f>'FSS Phase 1 Assumptions'!$D12*'FSS Phase 1 Assumptions'!$E12*'FSS Phase 1 Assumptions'!I$27*'FSS Phase 1 Assumptions'!I$28</f>
        <v>1512000</v>
      </c>
      <c r="W18" s="129">
        <f>'FSS Phase 1 Assumptions'!$D12*'FSS Phase 1 Assumptions'!$E12*'FSS Phase 1 Assumptions'!J$27*'FSS Phase 1 Assumptions'!J$28</f>
        <v>1512000</v>
      </c>
      <c r="X18" s="129">
        <f>'FSS Phase 1 Assumptions'!$D12*'FSS Phase 1 Assumptions'!$E12*'FSS Phase 1 Assumptions'!K$27*'FSS Phase 1 Assumptions'!K$28</f>
        <v>1512000</v>
      </c>
      <c r="Y18" s="129">
        <f>'FSS Phase 1 Assumptions'!$D12*'FSS Phase 1 Assumptions'!$E12*'FSS Phase 1 Assumptions'!L$27*'FSS Phase 1 Assumptions'!L$28</f>
        <v>1512000</v>
      </c>
      <c r="Z18" s="129">
        <f>'FSS Phase 1 Assumptions'!$D12*'FSS Phase 1 Assumptions'!$E12*'FSS Phase 1 Assumptions'!M$27*'FSS Phase 1 Assumptions'!M$28</f>
        <v>1512000</v>
      </c>
      <c r="AA18" s="59">
        <f>SUM(O18:Z18)</f>
        <v>18144000</v>
      </c>
      <c r="AB18" s="59">
        <f>Z18*12*(1+'FSS Phase 1 Assumptions'!B$31)</f>
        <v>18688320</v>
      </c>
      <c r="AC18" s="59">
        <f>AA18*(1+'FSS Phase 1 Assumptions'!C$31)</f>
        <v>18688320</v>
      </c>
      <c r="AD18" s="59">
        <f>AC18*(1+'FSS Phase 1 Assumptions'!D$31)</f>
        <v>19248969.600000001</v>
      </c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</row>
    <row r="19" spans="1:46" ht="4.1500000000000004" customHeight="1" x14ac:dyDescent="0.2">
      <c r="A19" s="62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57">
        <f t="shared" si="4"/>
        <v>0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2"/>
      <c r="AB19" s="132"/>
      <c r="AC19" s="132"/>
      <c r="AD19" s="132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</row>
    <row r="20" spans="1:46" s="71" customFormat="1" collapsed="1" x14ac:dyDescent="0.2">
      <c r="A20" s="69" t="s">
        <v>450</v>
      </c>
      <c r="B20" s="70">
        <f t="shared" ref="B20:N20" si="5">SUM(B15:B19)</f>
        <v>0</v>
      </c>
      <c r="C20" s="70">
        <f t="shared" si="5"/>
        <v>0</v>
      </c>
      <c r="D20" s="70">
        <f t="shared" si="5"/>
        <v>1431800</v>
      </c>
      <c r="E20" s="70">
        <f t="shared" si="5"/>
        <v>2863600</v>
      </c>
      <c r="F20" s="70">
        <f t="shared" si="5"/>
        <v>4295400</v>
      </c>
      <c r="G20" s="70">
        <f t="shared" si="5"/>
        <v>5727200</v>
      </c>
      <c r="H20" s="70">
        <f t="shared" si="5"/>
        <v>7159000</v>
      </c>
      <c r="I20" s="70">
        <f t="shared" si="5"/>
        <v>8590800</v>
      </c>
      <c r="J20" s="70">
        <f t="shared" si="5"/>
        <v>10022600</v>
      </c>
      <c r="K20" s="70">
        <f t="shared" si="5"/>
        <v>11454400</v>
      </c>
      <c r="L20" s="70">
        <f t="shared" si="5"/>
        <v>12886200</v>
      </c>
      <c r="M20" s="70">
        <f t="shared" si="5"/>
        <v>12886200</v>
      </c>
      <c r="N20" s="70">
        <f t="shared" si="5"/>
        <v>77317200</v>
      </c>
      <c r="O20" s="70">
        <f t="shared" ref="O20:Z20" si="6">SUM(O15:O19)</f>
        <v>12886200</v>
      </c>
      <c r="P20" s="70">
        <f t="shared" si="6"/>
        <v>12886200</v>
      </c>
      <c r="Q20" s="70">
        <f t="shared" si="6"/>
        <v>12886200</v>
      </c>
      <c r="R20" s="70">
        <f t="shared" si="6"/>
        <v>12886200</v>
      </c>
      <c r="S20" s="70">
        <f t="shared" si="6"/>
        <v>12886200</v>
      </c>
      <c r="T20" s="70">
        <f t="shared" si="6"/>
        <v>12886200</v>
      </c>
      <c r="U20" s="70">
        <f t="shared" si="6"/>
        <v>12886200</v>
      </c>
      <c r="V20" s="70">
        <f t="shared" si="6"/>
        <v>12886200</v>
      </c>
      <c r="W20" s="70">
        <f t="shared" si="6"/>
        <v>12886200</v>
      </c>
      <c r="X20" s="70">
        <f t="shared" si="6"/>
        <v>12886200</v>
      </c>
      <c r="Y20" s="70">
        <f t="shared" si="6"/>
        <v>12886200</v>
      </c>
      <c r="Z20" s="70">
        <f t="shared" si="6"/>
        <v>12886200</v>
      </c>
      <c r="AA20" s="70">
        <f>SUM(AA15:AA19)</f>
        <v>154634400</v>
      </c>
      <c r="AB20" s="70">
        <f>SUM(AB15:AB19)</f>
        <v>159273432</v>
      </c>
      <c r="AC20" s="70">
        <f>SUM(AC15:AC19)</f>
        <v>159967569.59999999</v>
      </c>
      <c r="AD20" s="70">
        <f>SUM(AD15:AD19)</f>
        <v>164766596.68799999</v>
      </c>
    </row>
    <row r="21" spans="1:46" s="71" customForma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1:46" s="71" customFormat="1" x14ac:dyDescent="0.2">
      <c r="A22" s="61" t="s">
        <v>446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1:46" s="71" customFormat="1" x14ac:dyDescent="0.2">
      <c r="A23" s="107" t="s">
        <v>447</v>
      </c>
      <c r="B23" s="129">
        <f>((SUM('FSS Phase 1 Assumptions'!$D$9:$D$11)+'FSS Phase 1 Assumptions'!$D$12*'FSS Phase 1 Assumptions'!$B$18))*('FSS Phase 1 Assumptions'!$B$15+'FSS Phase 1 Assumptions'!$B$16)*'FSS Phase 1 Assumptions'!$B$17/12*'FSS Phase 1 Assumptions'!B23*'FSS Phase 1 Assumptions'!B24</f>
        <v>0</v>
      </c>
      <c r="C23" s="129">
        <f>((SUM('FSS Phase 1 Assumptions'!$D$9:$D$11)+'FSS Phase 1 Assumptions'!$D$12*'FSS Phase 1 Assumptions'!$B$18))*('FSS Phase 1 Assumptions'!$B$15+'FSS Phase 1 Assumptions'!$B$16)*'FSS Phase 1 Assumptions'!$B$17/12*'FSS Phase 1 Assumptions'!C23*'FSS Phase 1 Assumptions'!C24</f>
        <v>0</v>
      </c>
      <c r="D23" s="129">
        <f>((SUM('FSS Phase 1 Assumptions'!$D$9:$D$11)+'FSS Phase 1 Assumptions'!$D$12*'FSS Phase 1 Assumptions'!$B$18))*('FSS Phase 1 Assumptions'!$B$15+'FSS Phase 1 Assumptions'!$B$16)*'FSS Phase 1 Assumptions'!$B$17/12*'FSS Phase 1 Assumptions'!D23*'FSS Phase 1 Assumptions'!D24</f>
        <v>73770.666666666672</v>
      </c>
      <c r="E23" s="129">
        <f>((SUM('FSS Phase 1 Assumptions'!$D$9:$D$11)+'FSS Phase 1 Assumptions'!$D$12*'FSS Phase 1 Assumptions'!$B$18))*('FSS Phase 1 Assumptions'!$B$15+'FSS Phase 1 Assumptions'!$B$16)*'FSS Phase 1 Assumptions'!$B$17/12*'FSS Phase 1 Assumptions'!E23*'FSS Phase 1 Assumptions'!E24</f>
        <v>147541.33333333334</v>
      </c>
      <c r="F23" s="129">
        <f>((SUM('FSS Phase 1 Assumptions'!$D$9:$D$11)+'FSS Phase 1 Assumptions'!$D$12*'FSS Phase 1 Assumptions'!$B$18))*('FSS Phase 1 Assumptions'!$B$15+'FSS Phase 1 Assumptions'!$B$16)*'FSS Phase 1 Assumptions'!$B$17/12*'FSS Phase 1 Assumptions'!F23*'FSS Phase 1 Assumptions'!F24</f>
        <v>221312</v>
      </c>
      <c r="G23" s="129">
        <f>((SUM('FSS Phase 1 Assumptions'!$D$9:$D$11)+'FSS Phase 1 Assumptions'!$D$12*'FSS Phase 1 Assumptions'!$B$18))*('FSS Phase 1 Assumptions'!$B$15+'FSS Phase 1 Assumptions'!$B$16)*'FSS Phase 1 Assumptions'!$B$17/12*'FSS Phase 1 Assumptions'!G23*'FSS Phase 1 Assumptions'!G24</f>
        <v>295082.66666666669</v>
      </c>
      <c r="H23" s="129">
        <f>((SUM('FSS Phase 1 Assumptions'!$D$9:$D$11)+'FSS Phase 1 Assumptions'!$D$12*'FSS Phase 1 Assumptions'!$B$18))*('FSS Phase 1 Assumptions'!$B$15+'FSS Phase 1 Assumptions'!$B$16)*'FSS Phase 1 Assumptions'!$B$17/12*'FSS Phase 1 Assumptions'!H23*'FSS Phase 1 Assumptions'!H24</f>
        <v>368853.33333333337</v>
      </c>
      <c r="I23" s="129">
        <f>((SUM('FSS Phase 1 Assumptions'!$D$9:$D$11)+'FSS Phase 1 Assumptions'!$D$12*'FSS Phase 1 Assumptions'!$B$18))*('FSS Phase 1 Assumptions'!$B$15+'FSS Phase 1 Assumptions'!$B$16)*'FSS Phase 1 Assumptions'!$B$17/12*'FSS Phase 1 Assumptions'!I23*'FSS Phase 1 Assumptions'!I24</f>
        <v>442624</v>
      </c>
      <c r="J23" s="129">
        <f>((SUM('FSS Phase 1 Assumptions'!$D$9:$D$11)+'FSS Phase 1 Assumptions'!$D$12*'FSS Phase 1 Assumptions'!$B$18))*('FSS Phase 1 Assumptions'!$B$15+'FSS Phase 1 Assumptions'!$B$16)*'FSS Phase 1 Assumptions'!$B$17/12*'FSS Phase 1 Assumptions'!J23*'FSS Phase 1 Assumptions'!J24</f>
        <v>516394.66666666674</v>
      </c>
      <c r="K23" s="129">
        <f>((SUM('FSS Phase 1 Assumptions'!$D$9:$D$11)+'FSS Phase 1 Assumptions'!$D$12*'FSS Phase 1 Assumptions'!$B$18))*('FSS Phase 1 Assumptions'!$B$15+'FSS Phase 1 Assumptions'!$B$16)*'FSS Phase 1 Assumptions'!$B$17/12*'FSS Phase 1 Assumptions'!K23*'FSS Phase 1 Assumptions'!K24</f>
        <v>590165.33333333337</v>
      </c>
      <c r="L23" s="129">
        <f>((SUM('FSS Phase 1 Assumptions'!$D$9:$D$11)+'FSS Phase 1 Assumptions'!$D$12*'FSS Phase 1 Assumptions'!$B$18))*('FSS Phase 1 Assumptions'!$B$15+'FSS Phase 1 Assumptions'!$B$16)*'FSS Phase 1 Assumptions'!$B$17/12*'FSS Phase 1 Assumptions'!L23*'FSS Phase 1 Assumptions'!L24</f>
        <v>663936</v>
      </c>
      <c r="M23" s="129">
        <f>((SUM('FSS Phase 1 Assumptions'!$D$9:$D$11)+'FSS Phase 1 Assumptions'!$D$12*'FSS Phase 1 Assumptions'!$B$18))*('FSS Phase 1 Assumptions'!$B$15+'FSS Phase 1 Assumptions'!$B$16)*'FSS Phase 1 Assumptions'!$B$17/12*'FSS Phase 1 Assumptions'!M23*'FSS Phase 1 Assumptions'!M24</f>
        <v>663936</v>
      </c>
      <c r="N23" s="158">
        <f t="shared" ref="N23" si="7">SUM(B23:M23)</f>
        <v>3983616</v>
      </c>
      <c r="O23" s="129">
        <f>((SUM('FSS Phase 1 Assumptions'!$D$9:$D$11)+'FSS Phase 1 Assumptions'!$D$12*'FSS Phase 1 Assumptions'!$B$18))*('FSS Phase 1 Assumptions'!$B$15+'FSS Phase 1 Assumptions'!$B$16)*'FSS Phase 1 Assumptions'!$B$17/12*'FSS Phase 1 Assumptions'!B27*'FSS Phase 1 Assumptions'!B28</f>
        <v>663936</v>
      </c>
      <c r="P23" s="129">
        <f>((SUM('FSS Phase 1 Assumptions'!$D$9:$D$11)+'FSS Phase 1 Assumptions'!$D$12*'FSS Phase 1 Assumptions'!$B$18))*('FSS Phase 1 Assumptions'!$B$15+'FSS Phase 1 Assumptions'!$B$16)*'FSS Phase 1 Assumptions'!$B$17/12*'FSS Phase 1 Assumptions'!C27*'FSS Phase 1 Assumptions'!C28</f>
        <v>663936</v>
      </c>
      <c r="Q23" s="129">
        <f>((SUM('FSS Phase 1 Assumptions'!$D$9:$D$11)+'FSS Phase 1 Assumptions'!$D$12*'FSS Phase 1 Assumptions'!$B$18))*('FSS Phase 1 Assumptions'!$B$15+'FSS Phase 1 Assumptions'!$B$16)*'FSS Phase 1 Assumptions'!$B$17/12*'FSS Phase 1 Assumptions'!D27*'FSS Phase 1 Assumptions'!D28</f>
        <v>663936</v>
      </c>
      <c r="R23" s="129">
        <f>((SUM('FSS Phase 1 Assumptions'!$D$9:$D$11)+'FSS Phase 1 Assumptions'!$D$12*'FSS Phase 1 Assumptions'!$B$18))*('FSS Phase 1 Assumptions'!$B$15+'FSS Phase 1 Assumptions'!$B$16)*'FSS Phase 1 Assumptions'!$B$17/12*'FSS Phase 1 Assumptions'!E27*'FSS Phase 1 Assumptions'!E28</f>
        <v>663936</v>
      </c>
      <c r="S23" s="129">
        <f>((SUM('FSS Phase 1 Assumptions'!$D$9:$D$11)+'FSS Phase 1 Assumptions'!$D$12*'FSS Phase 1 Assumptions'!$B$18))*('FSS Phase 1 Assumptions'!$B$15+'FSS Phase 1 Assumptions'!$B$16)*'FSS Phase 1 Assumptions'!$B$17/12*'FSS Phase 1 Assumptions'!F27*'FSS Phase 1 Assumptions'!F28</f>
        <v>663936</v>
      </c>
      <c r="T23" s="129">
        <f>((SUM('FSS Phase 1 Assumptions'!$D$9:$D$11)+'FSS Phase 1 Assumptions'!$D$12*'FSS Phase 1 Assumptions'!$B$18))*('FSS Phase 1 Assumptions'!$B$15+'FSS Phase 1 Assumptions'!$B$16)*'FSS Phase 1 Assumptions'!$B$17/12*'FSS Phase 1 Assumptions'!G27*'FSS Phase 1 Assumptions'!G28</f>
        <v>663936</v>
      </c>
      <c r="U23" s="129">
        <f>((SUM('FSS Phase 1 Assumptions'!$D$9:$D$11)+'FSS Phase 1 Assumptions'!$D$12*'FSS Phase 1 Assumptions'!$B$18))*('FSS Phase 1 Assumptions'!$B$15+'FSS Phase 1 Assumptions'!$B$16)*'FSS Phase 1 Assumptions'!$B$17/12*'FSS Phase 1 Assumptions'!H27*'FSS Phase 1 Assumptions'!H28</f>
        <v>663936</v>
      </c>
      <c r="V23" s="129">
        <f>((SUM('FSS Phase 1 Assumptions'!$D$9:$D$11)+'FSS Phase 1 Assumptions'!$D$12*'FSS Phase 1 Assumptions'!$B$18))*('FSS Phase 1 Assumptions'!$B$15+'FSS Phase 1 Assumptions'!$B$16)*'FSS Phase 1 Assumptions'!$B$17/12*'FSS Phase 1 Assumptions'!I27*'FSS Phase 1 Assumptions'!I28</f>
        <v>663936</v>
      </c>
      <c r="W23" s="129">
        <f>((SUM('FSS Phase 1 Assumptions'!$D$9:$D$11)+'FSS Phase 1 Assumptions'!$D$12*'FSS Phase 1 Assumptions'!$B$18))*('FSS Phase 1 Assumptions'!$B$15+'FSS Phase 1 Assumptions'!$B$16)*'FSS Phase 1 Assumptions'!$B$17/12*'FSS Phase 1 Assumptions'!J27*'FSS Phase 1 Assumptions'!J28</f>
        <v>663936</v>
      </c>
      <c r="X23" s="129">
        <f>((SUM('FSS Phase 1 Assumptions'!$D$9:$D$11)+'FSS Phase 1 Assumptions'!$D$12*'FSS Phase 1 Assumptions'!$B$18))*('FSS Phase 1 Assumptions'!$B$15+'FSS Phase 1 Assumptions'!$B$16)*'FSS Phase 1 Assumptions'!$B$17/12*'FSS Phase 1 Assumptions'!K27*'FSS Phase 1 Assumptions'!K28</f>
        <v>663936</v>
      </c>
      <c r="Y23" s="129">
        <f>((SUM('FSS Phase 1 Assumptions'!$D$9:$D$11)+'FSS Phase 1 Assumptions'!$D$12*'FSS Phase 1 Assumptions'!$B$18))*('FSS Phase 1 Assumptions'!$B$15+'FSS Phase 1 Assumptions'!$B$16)*'FSS Phase 1 Assumptions'!$B$17/12*'FSS Phase 1 Assumptions'!L27*'FSS Phase 1 Assumptions'!L28</f>
        <v>663936</v>
      </c>
      <c r="Z23" s="129">
        <f>((SUM('FSS Phase 1 Assumptions'!$D$9:$D$11)+'FSS Phase 1 Assumptions'!$D$12*'FSS Phase 1 Assumptions'!$B$18))*('FSS Phase 1 Assumptions'!$B$15+'FSS Phase 1 Assumptions'!$B$16)*'FSS Phase 1 Assumptions'!$B$17/12*'FSS Phase 1 Assumptions'!M27*'FSS Phase 1 Assumptions'!M28</f>
        <v>663936</v>
      </c>
      <c r="AA23" s="59">
        <f>SUM(O23:Z23)</f>
        <v>7967232</v>
      </c>
      <c r="AB23" s="59">
        <f>Z23*12*(1+'FSS Phase 1 Assumptions'!B$31)</f>
        <v>8206248.96</v>
      </c>
      <c r="AC23" s="59">
        <f>AA23*(1+'FSS Phase 1 Assumptions'!C$31)</f>
        <v>8206248.96</v>
      </c>
      <c r="AD23" s="59">
        <f>AC23*(1+'FSS Phase 1 Assumptions'!D$31)</f>
        <v>8452436.4287999999</v>
      </c>
    </row>
    <row r="24" spans="1:46" s="71" customFormat="1" ht="4.5" customHeight="1" x14ac:dyDescent="0.2">
      <c r="A24" s="52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</row>
    <row r="25" spans="1:46" s="71" customFormat="1" x14ac:dyDescent="0.2">
      <c r="A25" s="69" t="s">
        <v>451</v>
      </c>
      <c r="B25" s="70">
        <f>SUM(B22:B24)</f>
        <v>0</v>
      </c>
      <c r="C25" s="70">
        <f t="shared" ref="C25:AD25" si="8">SUM(C22:C24)</f>
        <v>0</v>
      </c>
      <c r="D25" s="70">
        <f t="shared" si="8"/>
        <v>73770.666666666672</v>
      </c>
      <c r="E25" s="70">
        <f t="shared" si="8"/>
        <v>147541.33333333334</v>
      </c>
      <c r="F25" s="70">
        <f t="shared" si="8"/>
        <v>221312</v>
      </c>
      <c r="G25" s="70">
        <f t="shared" si="8"/>
        <v>295082.66666666669</v>
      </c>
      <c r="H25" s="70">
        <f t="shared" si="8"/>
        <v>368853.33333333337</v>
      </c>
      <c r="I25" s="70">
        <f t="shared" si="8"/>
        <v>442624</v>
      </c>
      <c r="J25" s="70">
        <f t="shared" si="8"/>
        <v>516394.66666666674</v>
      </c>
      <c r="K25" s="70">
        <f t="shared" si="8"/>
        <v>590165.33333333337</v>
      </c>
      <c r="L25" s="70">
        <f t="shared" si="8"/>
        <v>663936</v>
      </c>
      <c r="M25" s="70">
        <f t="shared" si="8"/>
        <v>663936</v>
      </c>
      <c r="N25" s="70">
        <f t="shared" si="8"/>
        <v>3983616</v>
      </c>
      <c r="O25" s="70">
        <f t="shared" si="8"/>
        <v>663936</v>
      </c>
      <c r="P25" s="70">
        <f t="shared" si="8"/>
        <v>663936</v>
      </c>
      <c r="Q25" s="70">
        <f t="shared" si="8"/>
        <v>663936</v>
      </c>
      <c r="R25" s="70">
        <f t="shared" si="8"/>
        <v>663936</v>
      </c>
      <c r="S25" s="70">
        <f t="shared" si="8"/>
        <v>663936</v>
      </c>
      <c r="T25" s="70">
        <f t="shared" si="8"/>
        <v>663936</v>
      </c>
      <c r="U25" s="70">
        <f t="shared" si="8"/>
        <v>663936</v>
      </c>
      <c r="V25" s="70">
        <f t="shared" si="8"/>
        <v>663936</v>
      </c>
      <c r="W25" s="70">
        <f t="shared" si="8"/>
        <v>663936</v>
      </c>
      <c r="X25" s="70">
        <f t="shared" si="8"/>
        <v>663936</v>
      </c>
      <c r="Y25" s="70">
        <f t="shared" si="8"/>
        <v>663936</v>
      </c>
      <c r="Z25" s="70">
        <f t="shared" si="8"/>
        <v>663936</v>
      </c>
      <c r="AA25" s="70">
        <f t="shared" si="8"/>
        <v>7967232</v>
      </c>
      <c r="AB25" s="70">
        <f t="shared" si="8"/>
        <v>8206248.96</v>
      </c>
      <c r="AC25" s="70">
        <f t="shared" si="8"/>
        <v>8206248.96</v>
      </c>
      <c r="AD25" s="70">
        <f t="shared" si="8"/>
        <v>8452436.4287999999</v>
      </c>
    </row>
    <row r="26" spans="1:46" s="71" customFormat="1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1:46" s="80" customFormat="1" collapsed="1" x14ac:dyDescent="0.2">
      <c r="A27" s="80" t="s">
        <v>28</v>
      </c>
      <c r="B27" s="149">
        <f>B13+B20+B25</f>
        <v>0</v>
      </c>
      <c r="C27" s="149">
        <f t="shared" ref="C27:AD27" si="9">C13+C20+C25</f>
        <v>0</v>
      </c>
      <c r="D27" s="149">
        <f t="shared" si="9"/>
        <v>1505570.6666666667</v>
      </c>
      <c r="E27" s="149">
        <f t="shared" si="9"/>
        <v>3011141.3333333335</v>
      </c>
      <c r="F27" s="149">
        <f t="shared" si="9"/>
        <v>4516712</v>
      </c>
      <c r="G27" s="149">
        <f t="shared" si="9"/>
        <v>6022282.666666667</v>
      </c>
      <c r="H27" s="149">
        <f t="shared" si="9"/>
        <v>7527853.333333333</v>
      </c>
      <c r="I27" s="149">
        <f t="shared" si="9"/>
        <v>9033424</v>
      </c>
      <c r="J27" s="149">
        <f t="shared" si="9"/>
        <v>10538994.666666666</v>
      </c>
      <c r="K27" s="149">
        <f t="shared" si="9"/>
        <v>12044565.333333334</v>
      </c>
      <c r="L27" s="149">
        <f t="shared" si="9"/>
        <v>13550136</v>
      </c>
      <c r="M27" s="149">
        <f t="shared" si="9"/>
        <v>13550136</v>
      </c>
      <c r="N27" s="149">
        <f t="shared" si="9"/>
        <v>81300816</v>
      </c>
      <c r="O27" s="149">
        <f t="shared" si="9"/>
        <v>13550136</v>
      </c>
      <c r="P27" s="149">
        <f t="shared" si="9"/>
        <v>13550136</v>
      </c>
      <c r="Q27" s="149">
        <f t="shared" si="9"/>
        <v>13550136</v>
      </c>
      <c r="R27" s="149">
        <f t="shared" si="9"/>
        <v>13550136</v>
      </c>
      <c r="S27" s="149">
        <f t="shared" si="9"/>
        <v>13550136</v>
      </c>
      <c r="T27" s="149">
        <f t="shared" si="9"/>
        <v>13550136</v>
      </c>
      <c r="U27" s="149">
        <f t="shared" si="9"/>
        <v>13550136</v>
      </c>
      <c r="V27" s="149">
        <f t="shared" si="9"/>
        <v>13550136</v>
      </c>
      <c r="W27" s="149">
        <f t="shared" si="9"/>
        <v>13550136</v>
      </c>
      <c r="X27" s="149">
        <f t="shared" si="9"/>
        <v>13550136</v>
      </c>
      <c r="Y27" s="149">
        <f t="shared" si="9"/>
        <v>13550136</v>
      </c>
      <c r="Z27" s="149">
        <f t="shared" si="9"/>
        <v>13550136</v>
      </c>
      <c r="AA27" s="149">
        <f t="shared" si="9"/>
        <v>162601632</v>
      </c>
      <c r="AB27" s="149">
        <f t="shared" si="9"/>
        <v>167479680.96000001</v>
      </c>
      <c r="AC27" s="149">
        <f t="shared" si="9"/>
        <v>168173818.56</v>
      </c>
      <c r="AD27" s="149">
        <f t="shared" si="9"/>
        <v>173219033.11679998</v>
      </c>
    </row>
    <row r="28" spans="1:46" x14ac:dyDescent="0.2"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159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168"/>
      <c r="AC28" s="168"/>
      <c r="AD28" s="168"/>
    </row>
    <row r="29" spans="1:46" ht="15" x14ac:dyDescent="0.25">
      <c r="A29" s="60" t="s">
        <v>252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159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168"/>
      <c r="AC29" s="168"/>
      <c r="AD29" s="168"/>
    </row>
    <row r="30" spans="1:46" x14ac:dyDescent="0.2">
      <c r="A30" s="144" t="s">
        <v>223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159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168"/>
      <c r="AC30" s="168"/>
      <c r="AD30" s="168"/>
    </row>
    <row r="31" spans="1:46" x14ac:dyDescent="0.2">
      <c r="A31" s="67" t="s">
        <v>264</v>
      </c>
      <c r="B31" s="65">
        <f>'CIL Mgmt Assumptions'!C9</f>
        <v>227925.66666666666</v>
      </c>
      <c r="C31" s="65">
        <f>'CIL Mgmt Assumptions'!D9</f>
        <v>232083.33333333334</v>
      </c>
      <c r="D31" s="65">
        <f>'CIL Mgmt Assumptions'!E9</f>
        <v>265416.66666666669</v>
      </c>
      <c r="E31" s="65">
        <f>'CIL Mgmt Assumptions'!F9</f>
        <v>298750</v>
      </c>
      <c r="F31" s="65">
        <f>'CIL Mgmt Assumptions'!G9</f>
        <v>332916.66666666669</v>
      </c>
      <c r="G31" s="65">
        <f>'CIL Mgmt Assumptions'!H9</f>
        <v>456250</v>
      </c>
      <c r="H31" s="65">
        <f>'CIL Mgmt Assumptions'!I9</f>
        <v>480416.66666666663</v>
      </c>
      <c r="I31" s="65">
        <f>'CIL Mgmt Assumptions'!J9</f>
        <v>513750</v>
      </c>
      <c r="J31" s="65">
        <f>'CIL Mgmt Assumptions'!K9</f>
        <v>537916.66666666663</v>
      </c>
      <c r="K31" s="65">
        <f>'CIL Mgmt Assumptions'!L9</f>
        <v>577083.33333333326</v>
      </c>
      <c r="L31" s="65">
        <f>'CIL Mgmt Assumptions'!M9</f>
        <v>577083.33333333326</v>
      </c>
      <c r="M31" s="65">
        <f>'CIL Mgmt Assumptions'!N9</f>
        <v>577083.33333333326</v>
      </c>
      <c r="N31" s="156">
        <f t="shared" ref="N31:N39" si="10">SUM(B31:M31)</f>
        <v>5076675.666666666</v>
      </c>
      <c r="O31" s="65">
        <f>$M31*(1+'CIL Mgmt Assumptions'!$D$18)</f>
        <v>594395.83333333326</v>
      </c>
      <c r="P31" s="65">
        <f>$M31*(1+'CIL Mgmt Assumptions'!$D$18)</f>
        <v>594395.83333333326</v>
      </c>
      <c r="Q31" s="65">
        <f>$M31*(1+'CIL Mgmt Assumptions'!$D$18)</f>
        <v>594395.83333333326</v>
      </c>
      <c r="R31" s="65">
        <f>$M31*(1+'CIL Mgmt Assumptions'!$D$18)</f>
        <v>594395.83333333326</v>
      </c>
      <c r="S31" s="65">
        <f>$M31*(1+'CIL Mgmt Assumptions'!$D$18)</f>
        <v>594395.83333333326</v>
      </c>
      <c r="T31" s="65">
        <f>$M31*(1+'CIL Mgmt Assumptions'!$D$18)</f>
        <v>594395.83333333326</v>
      </c>
      <c r="U31" s="65">
        <f>$M31*(1+'CIL Mgmt Assumptions'!$D$18)</f>
        <v>594395.83333333326</v>
      </c>
      <c r="V31" s="65">
        <f>$M31*(1+'CIL Mgmt Assumptions'!$D$18)</f>
        <v>594395.83333333326</v>
      </c>
      <c r="W31" s="65">
        <f>$M31*(1+'CIL Mgmt Assumptions'!$D$18)</f>
        <v>594395.83333333326</v>
      </c>
      <c r="X31" s="65">
        <f>$M31*(1+'CIL Mgmt Assumptions'!$D$18)</f>
        <v>594395.83333333326</v>
      </c>
      <c r="Y31" s="65">
        <f>$M31*(1+'CIL Mgmt Assumptions'!$D$18)</f>
        <v>594395.83333333326</v>
      </c>
      <c r="Z31" s="65">
        <f>$M31*(1+'CIL Mgmt Assumptions'!$D$18)</f>
        <v>594395.83333333326</v>
      </c>
      <c r="AA31" s="59">
        <f>SUM(O31:Z31)</f>
        <v>7132749.9999999972</v>
      </c>
      <c r="AB31" s="172">
        <f>AA31*(1+'CIL Mgmt Assumptions'!E18)</f>
        <v>7346732.4999999972</v>
      </c>
      <c r="AC31" s="172">
        <f>AB31*(1+'CIL Mgmt Assumptions'!F18)</f>
        <v>7567134.4749999978</v>
      </c>
      <c r="AD31" s="172">
        <f>AC31*(1+'CIL Mgmt Assumptions'!G18)</f>
        <v>7794148.5092499983</v>
      </c>
    </row>
    <row r="32" spans="1:46" x14ac:dyDescent="0.2">
      <c r="A32" s="67" t="s">
        <v>265</v>
      </c>
      <c r="B32" s="65">
        <f>B31*'CIL Mgmt Assumptions'!$B$22</f>
        <v>6837.7699999999995</v>
      </c>
      <c r="C32" s="65">
        <f>C31*'CIL Mgmt Assumptions'!$B$22</f>
        <v>6962.5</v>
      </c>
      <c r="D32" s="65">
        <f>D31*'CIL Mgmt Assumptions'!$B$22</f>
        <v>7962.5</v>
      </c>
      <c r="E32" s="65">
        <f>E31*'CIL Mgmt Assumptions'!$B$22</f>
        <v>8962.5</v>
      </c>
      <c r="F32" s="65">
        <f>F31*'CIL Mgmt Assumptions'!$B$22</f>
        <v>9987.5</v>
      </c>
      <c r="G32" s="65">
        <f>G31*'CIL Mgmt Assumptions'!$B$22</f>
        <v>13687.5</v>
      </c>
      <c r="H32" s="65">
        <f>H31*'CIL Mgmt Assumptions'!$B$22</f>
        <v>14412.499999999998</v>
      </c>
      <c r="I32" s="65">
        <f>I31*'CIL Mgmt Assumptions'!$B$22</f>
        <v>15412.5</v>
      </c>
      <c r="J32" s="65">
        <f>J31*'CIL Mgmt Assumptions'!$B$22</f>
        <v>16137.499999999998</v>
      </c>
      <c r="K32" s="65">
        <f>K31*'CIL Mgmt Assumptions'!$B$22</f>
        <v>17312.499999999996</v>
      </c>
      <c r="L32" s="65">
        <f>L31*'CIL Mgmt Assumptions'!$B$22</f>
        <v>17312.499999999996</v>
      </c>
      <c r="M32" s="65">
        <f>M31*'CIL Mgmt Assumptions'!$B$22</f>
        <v>17312.499999999996</v>
      </c>
      <c r="N32" s="156">
        <f t="shared" si="10"/>
        <v>152300.26999999999</v>
      </c>
      <c r="O32" s="65">
        <f>O31*'CIL Mgmt Assumptions'!$B$22</f>
        <v>17831.874999999996</v>
      </c>
      <c r="P32" s="65">
        <f>P31*'CIL Mgmt Assumptions'!$B$22</f>
        <v>17831.874999999996</v>
      </c>
      <c r="Q32" s="65">
        <f>Q31*'CIL Mgmt Assumptions'!$B$22</f>
        <v>17831.874999999996</v>
      </c>
      <c r="R32" s="65">
        <f>R31*'CIL Mgmt Assumptions'!$B$22</f>
        <v>17831.874999999996</v>
      </c>
      <c r="S32" s="65">
        <f>S31*'CIL Mgmt Assumptions'!$B$22</f>
        <v>17831.874999999996</v>
      </c>
      <c r="T32" s="65">
        <f>T31*'CIL Mgmt Assumptions'!$B$22</f>
        <v>17831.874999999996</v>
      </c>
      <c r="U32" s="65">
        <f>U31*'CIL Mgmt Assumptions'!$B$22</f>
        <v>17831.874999999996</v>
      </c>
      <c r="V32" s="65">
        <f>V31*'CIL Mgmt Assumptions'!$B$22</f>
        <v>17831.874999999996</v>
      </c>
      <c r="W32" s="65">
        <f>W31*'CIL Mgmt Assumptions'!$B$22</f>
        <v>17831.874999999996</v>
      </c>
      <c r="X32" s="65">
        <f>X31*'CIL Mgmt Assumptions'!$B$22</f>
        <v>17831.874999999996</v>
      </c>
      <c r="Y32" s="65">
        <f>Y31*'CIL Mgmt Assumptions'!$B$22</f>
        <v>17831.874999999996</v>
      </c>
      <c r="Z32" s="65">
        <f>Z31*'CIL Mgmt Assumptions'!$B$22</f>
        <v>17831.874999999996</v>
      </c>
      <c r="AA32" s="59">
        <f t="shared" ref="AA32:AA39" si="11">SUM(O32:Z32)</f>
        <v>213982.49999999997</v>
      </c>
      <c r="AB32" s="172">
        <f>AB31*'CIL Mgmt Assumptions'!$B$22</f>
        <v>220401.97499999992</v>
      </c>
      <c r="AC32" s="172">
        <f>AC31*'CIL Mgmt Assumptions'!$B$22</f>
        <v>227014.03424999994</v>
      </c>
      <c r="AD32" s="172">
        <f>AD31*'CIL Mgmt Assumptions'!$B$22</f>
        <v>233824.45527749995</v>
      </c>
    </row>
    <row r="33" spans="1:30" x14ac:dyDescent="0.2">
      <c r="A33" s="67" t="s">
        <v>266</v>
      </c>
      <c r="B33" s="65">
        <f>Headcount!I145*'CIL Mgmt Assumptions'!$B$30</f>
        <v>12500.000000000002</v>
      </c>
      <c r="C33" s="65">
        <f>Headcount!J145*'CIL Mgmt Assumptions'!$B$30</f>
        <v>12500.000000000002</v>
      </c>
      <c r="D33" s="65">
        <f>Headcount!K145*'CIL Mgmt Assumptions'!$B$30</f>
        <v>12500.000000000002</v>
      </c>
      <c r="E33" s="65">
        <f>Headcount!L145*'CIL Mgmt Assumptions'!$B$30</f>
        <v>12500.000000000002</v>
      </c>
      <c r="F33" s="65">
        <f>Headcount!M145*'CIL Mgmt Assumptions'!$B$30</f>
        <v>12500.000000000002</v>
      </c>
      <c r="G33" s="65">
        <f>Headcount!N145*'CIL Mgmt Assumptions'!$B$30</f>
        <v>12500.000000000002</v>
      </c>
      <c r="H33" s="65">
        <f>Headcount!O145*'CIL Mgmt Assumptions'!$B$30</f>
        <v>12500.000000000002</v>
      </c>
      <c r="I33" s="65">
        <f>Headcount!P145*'CIL Mgmt Assumptions'!$B$30</f>
        <v>12500.000000000002</v>
      </c>
      <c r="J33" s="65">
        <f>Headcount!Q145*'CIL Mgmt Assumptions'!$B$30</f>
        <v>12500.000000000002</v>
      </c>
      <c r="K33" s="65">
        <f>Headcount!R145*'CIL Mgmt Assumptions'!$B$30</f>
        <v>12500.000000000002</v>
      </c>
      <c r="L33" s="65">
        <f>Headcount!S145*'CIL Mgmt Assumptions'!$B$30</f>
        <v>12500.000000000002</v>
      </c>
      <c r="M33" s="65">
        <f>Headcount!T145*'CIL Mgmt Assumptions'!$B$30</f>
        <v>12500.000000000002</v>
      </c>
      <c r="N33" s="156">
        <f t="shared" si="10"/>
        <v>150000.00000000003</v>
      </c>
      <c r="O33" s="65">
        <f>$M33*(1+'CIL Mgmt Assumptions'!D18)</f>
        <v>12875.000000000002</v>
      </c>
      <c r="P33" s="65">
        <f>$M33*(1+'CIL Mgmt Assumptions'!E18)</f>
        <v>12875.000000000002</v>
      </c>
      <c r="Q33" s="65">
        <f>$M33*(1+'CIL Mgmt Assumptions'!F18)</f>
        <v>12875.000000000002</v>
      </c>
      <c r="R33" s="65">
        <f>$M33*(1+'CIL Mgmt Assumptions'!G18)</f>
        <v>12875.000000000002</v>
      </c>
      <c r="S33" s="65">
        <f>$M33*(1+'CIL Mgmt Assumptions'!H18)</f>
        <v>12500.000000000002</v>
      </c>
      <c r="T33" s="65">
        <f>$M33*(1+'CIL Mgmt Assumptions'!I18)</f>
        <v>12500.000000000002</v>
      </c>
      <c r="U33" s="65">
        <f>$M33*(1+'CIL Mgmt Assumptions'!J18)</f>
        <v>12500.000000000002</v>
      </c>
      <c r="V33" s="65">
        <f>$M33*(1+'CIL Mgmt Assumptions'!K18)</f>
        <v>12500.000000000002</v>
      </c>
      <c r="W33" s="65">
        <f>$M33*(1+'CIL Mgmt Assumptions'!L18)</f>
        <v>12500.000000000002</v>
      </c>
      <c r="X33" s="65">
        <f>$M33*(1+'CIL Mgmt Assumptions'!M18)</f>
        <v>12500.000000000002</v>
      </c>
      <c r="Y33" s="65">
        <f>$M33*(1+'CIL Mgmt Assumptions'!N18)</f>
        <v>12500.000000000002</v>
      </c>
      <c r="Z33" s="65">
        <f>$M33*(1+'CIL Mgmt Assumptions'!O18)</f>
        <v>12500.000000000002</v>
      </c>
      <c r="AA33" s="59">
        <f t="shared" si="11"/>
        <v>151500.00000000003</v>
      </c>
      <c r="AB33" s="172">
        <f>AA33*(1+'CIL Mgmt Assumptions'!E18)</f>
        <v>156045.00000000003</v>
      </c>
      <c r="AC33" s="172">
        <f>AB33*(1+'CIL Mgmt Assumptions'!F18)</f>
        <v>160726.35000000003</v>
      </c>
      <c r="AD33" s="172">
        <f>AC33*(1+'CIL Mgmt Assumptions'!G18)</f>
        <v>165548.14050000004</v>
      </c>
    </row>
    <row r="34" spans="1:30" x14ac:dyDescent="0.2">
      <c r="A34" s="67" t="s">
        <v>267</v>
      </c>
      <c r="B34" s="65">
        <f>(B31+B32+B33)*'CIL Mgmt Assumptions'!$B$28</f>
        <v>18940.379248666664</v>
      </c>
      <c r="C34" s="65">
        <f>(C31+C32+C33)*'CIL Mgmt Assumptions'!$B$28</f>
        <v>19268.410833333335</v>
      </c>
      <c r="D34" s="65">
        <f>(D31+D32+D33)*'CIL Mgmt Assumptions'!$B$28</f>
        <v>21898.344166666669</v>
      </c>
      <c r="E34" s="65">
        <f>(E31+E32+E33)*'CIL Mgmt Assumptions'!$B$28</f>
        <v>24528.2775</v>
      </c>
      <c r="F34" s="65">
        <f>(F31+F32+F33)*'CIL Mgmt Assumptions'!$B$28</f>
        <v>27223.959166666667</v>
      </c>
      <c r="G34" s="65">
        <f>(G31+G32+G33)*'CIL Mgmt Assumptions'!$B$28</f>
        <v>36954.712500000001</v>
      </c>
      <c r="H34" s="65">
        <f>(H31+H32+H33)*'CIL Mgmt Assumptions'!$B$28</f>
        <v>38861.414166666662</v>
      </c>
      <c r="I34" s="65">
        <f>(I31+I32+I33)*'CIL Mgmt Assumptions'!$B$28</f>
        <v>41491.347500000003</v>
      </c>
      <c r="J34" s="65">
        <f>(J31+J32+J33)*'CIL Mgmt Assumptions'!$B$28</f>
        <v>43398.049166666664</v>
      </c>
      <c r="K34" s="65">
        <f>(K31+K32+K33)*'CIL Mgmt Assumptions'!$B$28</f>
        <v>46488.220833333326</v>
      </c>
      <c r="L34" s="65">
        <f>(L31+L32+L33)*'CIL Mgmt Assumptions'!$B$28</f>
        <v>46488.220833333326</v>
      </c>
      <c r="M34" s="65">
        <f>(M31+M32+M33)*'CIL Mgmt Assumptions'!$B$28</f>
        <v>46488.220833333326</v>
      </c>
      <c r="N34" s="156">
        <f t="shared" si="10"/>
        <v>412029.55674866663</v>
      </c>
      <c r="O34" s="65">
        <f>(O31+O32+O33)*'CIL Mgmt Assumptions'!$B$28</f>
        <v>47882.867458333327</v>
      </c>
      <c r="P34" s="65">
        <f>(P31+P32+P33)*'CIL Mgmt Assumptions'!$B$28</f>
        <v>47882.867458333327</v>
      </c>
      <c r="Q34" s="65">
        <f>(Q31+Q32+Q33)*'CIL Mgmt Assumptions'!$B$28</f>
        <v>47882.867458333327</v>
      </c>
      <c r="R34" s="65">
        <f>(R31+R32+R33)*'CIL Mgmt Assumptions'!$B$28</f>
        <v>47882.867458333327</v>
      </c>
      <c r="S34" s="65">
        <f>(S31+S32+S33)*'CIL Mgmt Assumptions'!$B$28</f>
        <v>47854.142458333328</v>
      </c>
      <c r="T34" s="65">
        <f>(T31+T32+T33)*'CIL Mgmt Assumptions'!$B$28</f>
        <v>47854.142458333328</v>
      </c>
      <c r="U34" s="65">
        <f>(U31+U32+U33)*'CIL Mgmt Assumptions'!$B$28</f>
        <v>47854.142458333328</v>
      </c>
      <c r="V34" s="65">
        <f>(V31+V32+V33)*'CIL Mgmt Assumptions'!$B$28</f>
        <v>47854.142458333328</v>
      </c>
      <c r="W34" s="65">
        <f>(W31+W32+W33)*'CIL Mgmt Assumptions'!$B$28</f>
        <v>47854.142458333328</v>
      </c>
      <c r="X34" s="65">
        <f>(X31+X32+X33)*'CIL Mgmt Assumptions'!$B$28</f>
        <v>47854.142458333328</v>
      </c>
      <c r="Y34" s="65">
        <f>(Y31+Y32+Y33)*'CIL Mgmt Assumptions'!$B$28</f>
        <v>47854.142458333328</v>
      </c>
      <c r="Z34" s="65">
        <f>(Z31+Z32+Z33)*'CIL Mgmt Assumptions'!$B$28</f>
        <v>47854.142458333328</v>
      </c>
      <c r="AA34" s="59">
        <f t="shared" si="11"/>
        <v>574364.6094999999</v>
      </c>
      <c r="AB34" s="172">
        <f>(AB31+AB32+AB33)*'CIL Mgmt Assumptions'!$B$28</f>
        <v>591595.54778499971</v>
      </c>
      <c r="AC34" s="172">
        <f>(AC31+AC32+AC33)*'CIL Mgmt Assumptions'!$B$28</f>
        <v>609343.41421854973</v>
      </c>
      <c r="AD34" s="172">
        <f>(AD31+AD32+AD33)*'CIL Mgmt Assumptions'!$B$28</f>
        <v>627623.71664510632</v>
      </c>
    </row>
    <row r="35" spans="1:30" x14ac:dyDescent="0.2">
      <c r="A35" s="62" t="s">
        <v>185</v>
      </c>
      <c r="B35" s="65">
        <f>Headcount!I142*'CIL Mgmt Assumptions'!$B$36*'CIL Mgmt Assumptions'!$B$38</f>
        <v>58274.999999999993</v>
      </c>
      <c r="C35" s="65">
        <f>Headcount!J142*'CIL Mgmt Assumptions'!$B$36*'CIL Mgmt Assumptions'!$B$38</f>
        <v>59849.999999999993</v>
      </c>
      <c r="D35" s="65">
        <f>Headcount!K142*'CIL Mgmt Assumptions'!$B$36*'CIL Mgmt Assumptions'!$B$38</f>
        <v>70875</v>
      </c>
      <c r="E35" s="65">
        <f>Headcount!L142*'CIL Mgmt Assumptions'!$B$36*'CIL Mgmt Assumptions'!$B$38</f>
        <v>81900</v>
      </c>
      <c r="F35" s="65">
        <f>Headcount!M142*'CIL Mgmt Assumptions'!$B$36*'CIL Mgmt Assumptions'!$B$38</f>
        <v>91350</v>
      </c>
      <c r="G35" s="65">
        <f>Headcount!N142*'CIL Mgmt Assumptions'!$B$36*'CIL Mgmt Assumptions'!$B$38</f>
        <v>116549.99999999999</v>
      </c>
      <c r="H35" s="65">
        <f>Headcount!O142*'CIL Mgmt Assumptions'!$B$36*'CIL Mgmt Assumptions'!$B$38</f>
        <v>124424.99999999999</v>
      </c>
      <c r="I35" s="65">
        <f>Headcount!P142*'CIL Mgmt Assumptions'!$B$36*'CIL Mgmt Assumptions'!$B$38</f>
        <v>135450</v>
      </c>
      <c r="J35" s="65">
        <f>Headcount!Q142*'CIL Mgmt Assumptions'!$B$36*'CIL Mgmt Assumptions'!$B$38</f>
        <v>143325</v>
      </c>
      <c r="K35" s="65">
        <f>Headcount!R142*'CIL Mgmt Assumptions'!$B$36*'CIL Mgmt Assumptions'!$B$38</f>
        <v>155925</v>
      </c>
      <c r="L35" s="65">
        <f>Headcount!S142*'CIL Mgmt Assumptions'!$B$36*'CIL Mgmt Assumptions'!$B$38</f>
        <v>155925</v>
      </c>
      <c r="M35" s="65">
        <f>Headcount!T142*'CIL Mgmt Assumptions'!$B$36*'CIL Mgmt Assumptions'!$B$38</f>
        <v>155925</v>
      </c>
      <c r="N35" s="156">
        <f t="shared" si="10"/>
        <v>1349775</v>
      </c>
      <c r="O35" s="65">
        <f>$M35*(1+'CIL Mgmt Assumptions'!$D$36)</f>
        <v>168399</v>
      </c>
      <c r="P35" s="65">
        <f>$M35*(1+'CIL Mgmt Assumptions'!$D$36)</f>
        <v>168399</v>
      </c>
      <c r="Q35" s="65">
        <f>$M35*(1+'CIL Mgmt Assumptions'!$D$36)</f>
        <v>168399</v>
      </c>
      <c r="R35" s="65">
        <f>$M35*(1+'CIL Mgmt Assumptions'!$D$36)</f>
        <v>168399</v>
      </c>
      <c r="S35" s="65">
        <f>$M35*(1+'CIL Mgmt Assumptions'!$D$36)</f>
        <v>168399</v>
      </c>
      <c r="T35" s="65">
        <f>$M35*(1+'CIL Mgmt Assumptions'!$D$36)</f>
        <v>168399</v>
      </c>
      <c r="U35" s="65">
        <f>$M35*(1+'CIL Mgmt Assumptions'!$D$36)</f>
        <v>168399</v>
      </c>
      <c r="V35" s="65">
        <f>$M35*(1+'CIL Mgmt Assumptions'!$D$36)</f>
        <v>168399</v>
      </c>
      <c r="W35" s="65">
        <f>$M35*(1+'CIL Mgmt Assumptions'!$D$36)</f>
        <v>168399</v>
      </c>
      <c r="X35" s="65">
        <f>$M35*(1+'CIL Mgmt Assumptions'!$D$36)</f>
        <v>168399</v>
      </c>
      <c r="Y35" s="65">
        <f>$M35*(1+'CIL Mgmt Assumptions'!$D$36)</f>
        <v>168399</v>
      </c>
      <c r="Z35" s="65">
        <f>$M35*(1+'CIL Mgmt Assumptions'!$D$36)</f>
        <v>168399</v>
      </c>
      <c r="AA35" s="59">
        <f t="shared" si="11"/>
        <v>2020788</v>
      </c>
      <c r="AB35" s="172">
        <f>AA35*(1+'CIL Mgmt Assumptions'!E36)</f>
        <v>2182451.04</v>
      </c>
      <c r="AC35" s="172">
        <f>AB35*(1+'CIL Mgmt Assumptions'!F36)</f>
        <v>2357047.1232000003</v>
      </c>
      <c r="AD35" s="172">
        <f>AC35*(1+'CIL Mgmt Assumptions'!G36)</f>
        <v>2545610.8930560006</v>
      </c>
    </row>
    <row r="36" spans="1:30" x14ac:dyDescent="0.2">
      <c r="A36" s="67" t="s">
        <v>268</v>
      </c>
      <c r="B36" s="65">
        <f>(B31+B32+B33)*'CIL Mgmt Assumptions'!$B$42</f>
        <v>9890.5374666666667</v>
      </c>
      <c r="C36" s="65">
        <f>(C31+C32+C33)*'CIL Mgmt Assumptions'!$B$42</f>
        <v>10061.833333333334</v>
      </c>
      <c r="D36" s="65">
        <f>(D31+D32+D33)*'CIL Mgmt Assumptions'!$B$42</f>
        <v>11435.166666666668</v>
      </c>
      <c r="E36" s="65">
        <f>(E31+E32+E33)*'CIL Mgmt Assumptions'!$B$42</f>
        <v>12808.5</v>
      </c>
      <c r="F36" s="65">
        <f>(F31+F32+F33)*'CIL Mgmt Assumptions'!$B$42</f>
        <v>14216.166666666668</v>
      </c>
      <c r="G36" s="65">
        <f>(G31+G32+G33)*'CIL Mgmt Assumptions'!$B$42</f>
        <v>19297.5</v>
      </c>
      <c r="H36" s="65">
        <f>(H31+H32+H33)*'CIL Mgmt Assumptions'!$B$42</f>
        <v>20293.166666666664</v>
      </c>
      <c r="I36" s="65">
        <f>(I31+I32+I33)*'CIL Mgmt Assumptions'!$B$42</f>
        <v>21666.5</v>
      </c>
      <c r="J36" s="65">
        <f>(J31+J32+J33)*'CIL Mgmt Assumptions'!$B$42</f>
        <v>22662.166666666664</v>
      </c>
      <c r="K36" s="65">
        <f>(K31+K32+K33)*'CIL Mgmt Assumptions'!$B$42</f>
        <v>24275.833333333332</v>
      </c>
      <c r="L36" s="65">
        <f>(L31+L32+L33)*'CIL Mgmt Assumptions'!$B$42</f>
        <v>24275.833333333332</v>
      </c>
      <c r="M36" s="65">
        <f>(M31+M32+M33)*'CIL Mgmt Assumptions'!$B$42</f>
        <v>24275.833333333332</v>
      </c>
      <c r="N36" s="156">
        <f t="shared" si="10"/>
        <v>215159.03746666669</v>
      </c>
      <c r="O36" s="65">
        <f>(O31+O32+O33)*'CIL Mgmt Assumptions'!$B$42</f>
        <v>25004.10833333333</v>
      </c>
      <c r="P36" s="65">
        <f>(P31+P32+P33)*'CIL Mgmt Assumptions'!$B$42</f>
        <v>25004.10833333333</v>
      </c>
      <c r="Q36" s="65">
        <f>(Q31+Q32+Q33)*'CIL Mgmt Assumptions'!$B$42</f>
        <v>25004.10833333333</v>
      </c>
      <c r="R36" s="65">
        <f>(R31+R32+R33)*'CIL Mgmt Assumptions'!$B$42</f>
        <v>25004.10833333333</v>
      </c>
      <c r="S36" s="65">
        <f>(S31+S32+S33)*'CIL Mgmt Assumptions'!$B$42</f>
        <v>24989.10833333333</v>
      </c>
      <c r="T36" s="65">
        <f>(T31+T32+T33)*'CIL Mgmt Assumptions'!$B$42</f>
        <v>24989.10833333333</v>
      </c>
      <c r="U36" s="65">
        <f>(U31+U32+U33)*'CIL Mgmt Assumptions'!$B$42</f>
        <v>24989.10833333333</v>
      </c>
      <c r="V36" s="65">
        <f>(V31+V32+V33)*'CIL Mgmt Assumptions'!$B$42</f>
        <v>24989.10833333333</v>
      </c>
      <c r="W36" s="65">
        <f>(W31+W32+W33)*'CIL Mgmt Assumptions'!$B$42</f>
        <v>24989.10833333333</v>
      </c>
      <c r="X36" s="65">
        <f>(X31+X32+X33)*'CIL Mgmt Assumptions'!$B$42</f>
        <v>24989.10833333333</v>
      </c>
      <c r="Y36" s="65">
        <f>(Y31+Y32+Y33)*'CIL Mgmt Assumptions'!$B$42</f>
        <v>24989.10833333333</v>
      </c>
      <c r="Z36" s="65">
        <f>(Z31+Z32+Z33)*'CIL Mgmt Assumptions'!$B$42</f>
        <v>24989.10833333333</v>
      </c>
      <c r="AA36" s="59">
        <f t="shared" si="11"/>
        <v>299929.3</v>
      </c>
      <c r="AB36" s="172">
        <f>(AB31+AB32+AB33)*'CIL Mgmt Assumptions'!$B$42</f>
        <v>308927.17899999989</v>
      </c>
      <c r="AC36" s="172">
        <f>(AC31+AC32+AC33)*'CIL Mgmt Assumptions'!$B$42</f>
        <v>318194.99436999991</v>
      </c>
      <c r="AD36" s="172">
        <f>(AD31+AD32+AD33)*'CIL Mgmt Assumptions'!$B$42</f>
        <v>327740.84420109994</v>
      </c>
    </row>
    <row r="37" spans="1:30" x14ac:dyDescent="0.2">
      <c r="A37" s="67" t="s">
        <v>518</v>
      </c>
      <c r="B37" s="65">
        <f>(Headcount!$F$148*Headcount!$E$148+Headcount!$F$149*Headcount!$E$149+Headcount!$F$150*Headcount!$E$150+Headcount!$F$151*Headcount!$E$151)/100/12</f>
        <v>9427.1388888888905</v>
      </c>
      <c r="C37" s="65">
        <f>(Headcount!$F$148*Headcount!$E$148+Headcount!$F$149*Headcount!$E$149+Headcount!$F$150*Headcount!$E$150+Headcount!$F$151*Headcount!$E$151)/100/12</f>
        <v>9427.1388888888905</v>
      </c>
      <c r="D37" s="65">
        <f>(Headcount!$F$148*Headcount!$E$148+Headcount!$F$149*Headcount!$E$149+Headcount!$F$150*Headcount!$E$150+Headcount!$F$151*Headcount!$E$151)/100/12</f>
        <v>9427.1388888888905</v>
      </c>
      <c r="E37" s="65">
        <f>(Headcount!$F$148*Headcount!$E$148+Headcount!$F$149*Headcount!$E$149+Headcount!$F$150*Headcount!$E$150+Headcount!$F$151*Headcount!$E$151)/100/12</f>
        <v>9427.1388888888905</v>
      </c>
      <c r="F37" s="65">
        <f>(Headcount!$F$148*Headcount!$E$148+Headcount!$F$149*Headcount!$E$149+Headcount!$F$150*Headcount!$E$150+Headcount!$F$151*Headcount!$E$151)/100/12</f>
        <v>9427.1388888888905</v>
      </c>
      <c r="G37" s="65">
        <f>(Headcount!$F$148*Headcount!$E$148+Headcount!$F$149*Headcount!$E$149+Headcount!$F$150*Headcount!$E$150+Headcount!$F$151*Headcount!$E$151)/100/12</f>
        <v>9427.1388888888905</v>
      </c>
      <c r="H37" s="65">
        <f>(Headcount!$F$148*Headcount!$E$148+Headcount!$F$149*Headcount!$E$149+Headcount!$F$150*Headcount!$E$150+Headcount!$F$151*Headcount!$E$151)/100/12</f>
        <v>9427.1388888888905</v>
      </c>
      <c r="I37" s="65">
        <f>(Headcount!$F$148*Headcount!$E$148+Headcount!$F$149*Headcount!$E$149+Headcount!$F$150*Headcount!$E$150+Headcount!$F$151*Headcount!$E$151)/100/12</f>
        <v>9427.1388888888905</v>
      </c>
      <c r="J37" s="65">
        <f>(Headcount!$F$148*Headcount!$E$148+Headcount!$F$149*Headcount!$E$149+Headcount!$F$150*Headcount!$E$150+Headcount!$F$151*Headcount!$E$151)/100/12</f>
        <v>9427.1388888888905</v>
      </c>
      <c r="K37" s="65">
        <f>(Headcount!$F$148*Headcount!$E$148+Headcount!$F$149*Headcount!$E$149+Headcount!$F$150*Headcount!$E$150+Headcount!$F$151*Headcount!$E$151)/100/12</f>
        <v>9427.1388888888905</v>
      </c>
      <c r="L37" s="65">
        <f>(Headcount!$F$148*Headcount!$E$148+Headcount!$F$149*Headcount!$E$149+Headcount!$F$150*Headcount!$E$150+Headcount!$F$151*Headcount!$E$151)/100/12</f>
        <v>9427.1388888888905</v>
      </c>
      <c r="M37" s="65">
        <f>(Headcount!$F$148*Headcount!$E$148+Headcount!$F$149*Headcount!$E$149+Headcount!$F$150*Headcount!$E$150+Headcount!$F$151*Headcount!$E$151)/100/12</f>
        <v>9427.1388888888905</v>
      </c>
      <c r="N37" s="156">
        <f t="shared" si="10"/>
        <v>113125.66666666669</v>
      </c>
      <c r="O37" s="65">
        <f>(Headcount!$G$148*Headcount!$E$148+Headcount!$G$149*Headcount!$E$149+Headcount!$G$150*Headcount!$E$150+Headcount!$G$151*Headcount!$E$151)/100/12</f>
        <v>13415.363749999988</v>
      </c>
      <c r="P37" s="65">
        <f>(Headcount!$G$148*Headcount!$E$148+Headcount!$G$149*Headcount!$E$149+Headcount!$G$150*Headcount!$E$150+Headcount!$G$151*Headcount!$E$151)/100/12</f>
        <v>13415.363749999988</v>
      </c>
      <c r="Q37" s="65">
        <f>(Headcount!$G$148*Headcount!$E$148+Headcount!$G$149*Headcount!$E$149+Headcount!$G$150*Headcount!$E$150+Headcount!$G$151*Headcount!$E$151)/100/12</f>
        <v>13415.363749999988</v>
      </c>
      <c r="R37" s="65">
        <f>(Headcount!$G$148*Headcount!$E$148+Headcount!$G$149*Headcount!$E$149+Headcount!$G$150*Headcount!$E$150+Headcount!$G$151*Headcount!$E$151)/100/12</f>
        <v>13415.363749999988</v>
      </c>
      <c r="S37" s="65">
        <f>(Headcount!$G$148*Headcount!$E$148+Headcount!$G$149*Headcount!$E$149+Headcount!$G$150*Headcount!$E$150+Headcount!$G$151*Headcount!$E$151)/100/12</f>
        <v>13415.363749999988</v>
      </c>
      <c r="T37" s="65">
        <f>(Headcount!$G$148*Headcount!$E$148+Headcount!$G$149*Headcount!$E$149+Headcount!$G$150*Headcount!$E$150+Headcount!$G$151*Headcount!$E$151)/100/12</f>
        <v>13415.363749999988</v>
      </c>
      <c r="U37" s="65">
        <f>(Headcount!$G$148*Headcount!$E$148+Headcount!$G$149*Headcount!$E$149+Headcount!$G$150*Headcount!$E$150+Headcount!$G$151*Headcount!$E$151)/100/12</f>
        <v>13415.363749999988</v>
      </c>
      <c r="V37" s="65">
        <f>(Headcount!$G$148*Headcount!$E$148+Headcount!$G$149*Headcount!$E$149+Headcount!$G$150*Headcount!$E$150+Headcount!$G$151*Headcount!$E$151)/100/12</f>
        <v>13415.363749999988</v>
      </c>
      <c r="W37" s="65">
        <f>(Headcount!$G$148*Headcount!$E$148+Headcount!$G$149*Headcount!$E$149+Headcount!$G$150*Headcount!$E$150+Headcount!$G$151*Headcount!$E$151)/100/12</f>
        <v>13415.363749999988</v>
      </c>
      <c r="X37" s="65">
        <f>(Headcount!$G$148*Headcount!$E$148+Headcount!$G$149*Headcount!$E$149+Headcount!$G$150*Headcount!$E$150+Headcount!$G$151*Headcount!$E$151)/100/12</f>
        <v>13415.363749999988</v>
      </c>
      <c r="Y37" s="65">
        <f>(Headcount!$G$148*Headcount!$E$148+Headcount!$G$149*Headcount!$E$149+Headcount!$G$150*Headcount!$E$150+Headcount!$G$151*Headcount!$E$151)/100/12</f>
        <v>13415.363749999988</v>
      </c>
      <c r="Z37" s="65">
        <f>(Headcount!$G$148*Headcount!$E$148+Headcount!$G$149*Headcount!$E$149+Headcount!$G$150*Headcount!$E$150+Headcount!$G$151*Headcount!$E$151)/100/12</f>
        <v>13415.363749999988</v>
      </c>
      <c r="AA37" s="59">
        <f t="shared" si="11"/>
        <v>160984.36499999985</v>
      </c>
      <c r="AB37" s="172">
        <f>AA37*(1+'CIL Mgmt Assumptions'!E18)</f>
        <v>165813.89594999983</v>
      </c>
      <c r="AC37" s="172">
        <f>AB37*(1+'CIL Mgmt Assumptions'!F18)</f>
        <v>170788.31282849982</v>
      </c>
      <c r="AD37" s="172">
        <f>AC37*(1+'CIL Mgmt Assumptions'!G18)</f>
        <v>175911.96221335483</v>
      </c>
    </row>
    <row r="38" spans="1:30" x14ac:dyDescent="0.2">
      <c r="A38" s="67" t="s">
        <v>273</v>
      </c>
      <c r="B38" s="65">
        <f>'FSS Phase 1 Assumptions'!$B$37</f>
        <v>2500</v>
      </c>
      <c r="C38" s="65">
        <f>'FSS Phase 1 Assumptions'!$B$37</f>
        <v>2500</v>
      </c>
      <c r="D38" s="65">
        <f>'FSS Phase 1 Assumptions'!$B$37</f>
        <v>2500</v>
      </c>
      <c r="E38" s="65">
        <f>'FSS Phase 1 Assumptions'!$B$37</f>
        <v>2500</v>
      </c>
      <c r="F38" s="65">
        <f>'FSS Phase 1 Assumptions'!$B$37</f>
        <v>2500</v>
      </c>
      <c r="G38" s="65">
        <f>'FSS Phase 1 Assumptions'!$B$37</f>
        <v>2500</v>
      </c>
      <c r="H38" s="65">
        <f>'FSS Phase 1 Assumptions'!$B$37</f>
        <v>2500</v>
      </c>
      <c r="I38" s="65">
        <f>'FSS Phase 1 Assumptions'!$B$37</f>
        <v>2500</v>
      </c>
      <c r="J38" s="65">
        <f>'FSS Phase 1 Assumptions'!$B$37</f>
        <v>2500</v>
      </c>
      <c r="K38" s="65">
        <f>'FSS Phase 1 Assumptions'!$B$37</f>
        <v>2500</v>
      </c>
      <c r="L38" s="65">
        <f>'FSS Phase 1 Assumptions'!$B$37</f>
        <v>2500</v>
      </c>
      <c r="M38" s="65">
        <f>'FSS Phase 1 Assumptions'!$B$37</f>
        <v>2500</v>
      </c>
      <c r="N38" s="156">
        <f>SUM(B38:M38)</f>
        <v>30000</v>
      </c>
      <c r="O38" s="65">
        <f>$M38*(1+'FSS Phase 1 Assumptions'!$D$37)</f>
        <v>2575</v>
      </c>
      <c r="P38" s="65">
        <f>$M38*(1+'FSS Phase 1 Assumptions'!$D$37)</f>
        <v>2575</v>
      </c>
      <c r="Q38" s="65">
        <f>$M38*(1+'FSS Phase 1 Assumptions'!$D$37)</f>
        <v>2575</v>
      </c>
      <c r="R38" s="65">
        <f>$M38*(1+'FSS Phase 1 Assumptions'!$D$37)</f>
        <v>2575</v>
      </c>
      <c r="S38" s="65">
        <f>$M38*(1+'FSS Phase 1 Assumptions'!$D$37)</f>
        <v>2575</v>
      </c>
      <c r="T38" s="65">
        <f>$M38*(1+'FSS Phase 1 Assumptions'!$D$37)</f>
        <v>2575</v>
      </c>
      <c r="U38" s="65">
        <f>$M38*(1+'FSS Phase 1 Assumptions'!$D$37)</f>
        <v>2575</v>
      </c>
      <c r="V38" s="65">
        <f>$M38*(1+'FSS Phase 1 Assumptions'!$D$37)</f>
        <v>2575</v>
      </c>
      <c r="W38" s="65">
        <f>$M38*(1+'FSS Phase 1 Assumptions'!$D$37)</f>
        <v>2575</v>
      </c>
      <c r="X38" s="65">
        <f>$M38*(1+'FSS Phase 1 Assumptions'!$D$37)</f>
        <v>2575</v>
      </c>
      <c r="Y38" s="65">
        <f>$M38*(1+'FSS Phase 1 Assumptions'!$D$37)</f>
        <v>2575</v>
      </c>
      <c r="Z38" s="65">
        <f>$M38*(1+'FSS Phase 1 Assumptions'!$D$37)</f>
        <v>2575</v>
      </c>
      <c r="AA38" s="59">
        <f t="shared" si="11"/>
        <v>30900</v>
      </c>
      <c r="AB38" s="172">
        <f>AA38*(1+'FSS Phase 1 Assumptions'!E37)</f>
        <v>31827</v>
      </c>
      <c r="AC38" s="172">
        <f>AB38*(1+'FSS Phase 1 Assumptions'!F37)</f>
        <v>32781.81</v>
      </c>
      <c r="AD38" s="172">
        <f>AC38*(1+'FSS Phase 1 Assumptions'!G37)</f>
        <v>33765.264299999995</v>
      </c>
    </row>
    <row r="39" spans="1:30" x14ac:dyDescent="0.2">
      <c r="A39" s="62" t="s">
        <v>274</v>
      </c>
      <c r="B39" s="65">
        <f>'FSS Phase 1 Assumptions'!$B$40</f>
        <v>5000</v>
      </c>
      <c r="C39" s="65">
        <f>'FSS Phase 1 Assumptions'!$B$40</f>
        <v>5000</v>
      </c>
      <c r="D39" s="65">
        <f>'FSS Phase 1 Assumptions'!$B$40</f>
        <v>5000</v>
      </c>
      <c r="E39" s="65">
        <f>'FSS Phase 1 Assumptions'!$B$40</f>
        <v>5000</v>
      </c>
      <c r="F39" s="65">
        <f>'FSS Phase 1 Assumptions'!$B$40</f>
        <v>5000</v>
      </c>
      <c r="G39" s="65">
        <f>'FSS Phase 1 Assumptions'!$B$40</f>
        <v>5000</v>
      </c>
      <c r="H39" s="65">
        <f>'FSS Phase 1 Assumptions'!$B$40</f>
        <v>5000</v>
      </c>
      <c r="I39" s="65">
        <f>'FSS Phase 1 Assumptions'!$B$40</f>
        <v>5000</v>
      </c>
      <c r="J39" s="65">
        <f>'FSS Phase 1 Assumptions'!$B$40</f>
        <v>5000</v>
      </c>
      <c r="K39" s="65">
        <f>'FSS Phase 1 Assumptions'!$B$40</f>
        <v>5000</v>
      </c>
      <c r="L39" s="65">
        <f>'FSS Phase 1 Assumptions'!$B$40</f>
        <v>5000</v>
      </c>
      <c r="M39" s="65">
        <f>'FSS Phase 1 Assumptions'!$B$40</f>
        <v>5000</v>
      </c>
      <c r="N39" s="156">
        <f t="shared" si="10"/>
        <v>60000</v>
      </c>
      <c r="O39" s="65">
        <f>$M39*(1+'FSS Phase 1 Assumptions'!$D$40)</f>
        <v>5150</v>
      </c>
      <c r="P39" s="65">
        <f>$M39*(1+'FSS Phase 1 Assumptions'!$D$40)</f>
        <v>5150</v>
      </c>
      <c r="Q39" s="65">
        <f>$M39*(1+'FSS Phase 1 Assumptions'!$D$40)</f>
        <v>5150</v>
      </c>
      <c r="R39" s="65">
        <f>$M39*(1+'FSS Phase 1 Assumptions'!$D$40)</f>
        <v>5150</v>
      </c>
      <c r="S39" s="65">
        <f>$M39*(1+'FSS Phase 1 Assumptions'!$D$40)</f>
        <v>5150</v>
      </c>
      <c r="T39" s="65">
        <f>$M39*(1+'FSS Phase 1 Assumptions'!$D$40)</f>
        <v>5150</v>
      </c>
      <c r="U39" s="65">
        <f>$M39*(1+'FSS Phase 1 Assumptions'!$D$40)</f>
        <v>5150</v>
      </c>
      <c r="V39" s="65">
        <f>$M39*(1+'FSS Phase 1 Assumptions'!$D$40)</f>
        <v>5150</v>
      </c>
      <c r="W39" s="65">
        <f>$M39*(1+'FSS Phase 1 Assumptions'!$D$40)</f>
        <v>5150</v>
      </c>
      <c r="X39" s="65">
        <f>$M39*(1+'FSS Phase 1 Assumptions'!$D$40)</f>
        <v>5150</v>
      </c>
      <c r="Y39" s="65">
        <f>$M39*(1+'FSS Phase 1 Assumptions'!$D$40)</f>
        <v>5150</v>
      </c>
      <c r="Z39" s="65">
        <f>$M39*(1+'FSS Phase 1 Assumptions'!$D$40)</f>
        <v>5150</v>
      </c>
      <c r="AA39" s="59">
        <f t="shared" si="11"/>
        <v>61800</v>
      </c>
      <c r="AB39" s="172">
        <f>AA39*(1+'FSS Phase 1 Assumptions'!E40)</f>
        <v>63654</v>
      </c>
      <c r="AC39" s="172">
        <f>AB39*(1+'FSS Phase 1 Assumptions'!F40)</f>
        <v>65563.62</v>
      </c>
      <c r="AD39" s="172">
        <f>AC39*(1+'FSS Phase 1 Assumptions'!G40)</f>
        <v>67530.528599999991</v>
      </c>
    </row>
    <row r="40" spans="1:30" x14ac:dyDescent="0.2">
      <c r="A40" s="67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160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132"/>
      <c r="AB40" s="174"/>
      <c r="AC40" s="174"/>
      <c r="AD40" s="174"/>
    </row>
    <row r="41" spans="1:30" s="80" customFormat="1" collapsed="1" x14ac:dyDescent="0.2">
      <c r="A41" s="79" t="s">
        <v>224</v>
      </c>
      <c r="B41" s="81">
        <f t="shared" ref="B41:N41" si="12">SUM(B31:B40)</f>
        <v>351296.49227088888</v>
      </c>
      <c r="C41" s="81">
        <f t="shared" si="12"/>
        <v>357653.21638888889</v>
      </c>
      <c r="D41" s="81">
        <f t="shared" si="12"/>
        <v>407014.81638888892</v>
      </c>
      <c r="E41" s="81">
        <f t="shared" si="12"/>
        <v>456376.4163888889</v>
      </c>
      <c r="F41" s="81">
        <f t="shared" si="12"/>
        <v>505121.43138888892</v>
      </c>
      <c r="G41" s="81">
        <f t="shared" si="12"/>
        <v>672166.8513888889</v>
      </c>
      <c r="H41" s="81">
        <f t="shared" si="12"/>
        <v>707835.88638888882</v>
      </c>
      <c r="I41" s="81">
        <f t="shared" si="12"/>
        <v>757197.48638888891</v>
      </c>
      <c r="J41" s="81">
        <f t="shared" si="12"/>
        <v>792866.52138888882</v>
      </c>
      <c r="K41" s="81">
        <f t="shared" si="12"/>
        <v>850512.02638888883</v>
      </c>
      <c r="L41" s="81">
        <f t="shared" si="12"/>
        <v>850512.02638888883</v>
      </c>
      <c r="M41" s="81">
        <f t="shared" si="12"/>
        <v>850512.02638888883</v>
      </c>
      <c r="N41" s="81">
        <f t="shared" si="12"/>
        <v>7559065.197548666</v>
      </c>
      <c r="O41" s="81">
        <f t="shared" ref="O41:AD41" si="13">SUM(O31:O40)</f>
        <v>887529.04787499993</v>
      </c>
      <c r="P41" s="81">
        <f t="shared" si="13"/>
        <v>887529.04787499993</v>
      </c>
      <c r="Q41" s="81">
        <f t="shared" si="13"/>
        <v>887529.04787499993</v>
      </c>
      <c r="R41" s="81">
        <f t="shared" si="13"/>
        <v>887529.04787499993</v>
      </c>
      <c r="S41" s="81">
        <f t="shared" si="13"/>
        <v>887110.32287499984</v>
      </c>
      <c r="T41" s="81">
        <f t="shared" si="13"/>
        <v>887110.32287499984</v>
      </c>
      <c r="U41" s="81">
        <f t="shared" si="13"/>
        <v>887110.32287499984</v>
      </c>
      <c r="V41" s="81">
        <f t="shared" si="13"/>
        <v>887110.32287499984</v>
      </c>
      <c r="W41" s="81">
        <f t="shared" si="13"/>
        <v>887110.32287499984</v>
      </c>
      <c r="X41" s="81">
        <f t="shared" si="13"/>
        <v>887110.32287499984</v>
      </c>
      <c r="Y41" s="81">
        <f t="shared" si="13"/>
        <v>887110.32287499984</v>
      </c>
      <c r="Z41" s="81">
        <f t="shared" si="13"/>
        <v>887110.32287499984</v>
      </c>
      <c r="AA41" s="81">
        <f t="shared" si="13"/>
        <v>10646998.774499999</v>
      </c>
      <c r="AB41" s="81">
        <f t="shared" si="13"/>
        <v>11067448.137734996</v>
      </c>
      <c r="AC41" s="81">
        <f t="shared" si="13"/>
        <v>11508594.133867046</v>
      </c>
      <c r="AD41" s="81">
        <f t="shared" si="13"/>
        <v>11971704.314043058</v>
      </c>
    </row>
    <row r="42" spans="1:30" s="84" customFormat="1" ht="11.25" x14ac:dyDescent="0.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161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169"/>
      <c r="AC42" s="169"/>
      <c r="AD42" s="169"/>
    </row>
    <row r="43" spans="1:30" x14ac:dyDescent="0.2">
      <c r="A43" s="144" t="s">
        <v>251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162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170"/>
      <c r="AC43" s="170"/>
      <c r="AD43" s="170"/>
    </row>
    <row r="44" spans="1:30" x14ac:dyDescent="0.2">
      <c r="A44" s="67" t="s">
        <v>264</v>
      </c>
      <c r="B44" s="66">
        <f>'CIL Mgmt Assumptions'!C11*'CIL Mgmt Assumptions'!C13</f>
        <v>452500</v>
      </c>
      <c r="C44" s="66">
        <f>'CIL Mgmt Assumptions'!D11*'CIL Mgmt Assumptions'!D13</f>
        <v>452500</v>
      </c>
      <c r="D44" s="66">
        <f>'CIL Mgmt Assumptions'!E11*'CIL Mgmt Assumptions'!E13</f>
        <v>452500</v>
      </c>
      <c r="E44" s="66">
        <f>'CIL Mgmt Assumptions'!F11*'CIL Mgmt Assumptions'!F13</f>
        <v>452500</v>
      </c>
      <c r="F44" s="66">
        <f>'CIL Mgmt Assumptions'!G11*'CIL Mgmt Assumptions'!G13</f>
        <v>452500</v>
      </c>
      <c r="G44" s="66">
        <f>'CIL Mgmt Assumptions'!H11*'CIL Mgmt Assumptions'!H13</f>
        <v>512500</v>
      </c>
      <c r="H44" s="66">
        <f>'CIL Mgmt Assumptions'!I11*'CIL Mgmt Assumptions'!I13</f>
        <v>512500</v>
      </c>
      <c r="I44" s="66">
        <f>'CIL Mgmt Assumptions'!J11*'CIL Mgmt Assumptions'!J13</f>
        <v>512500</v>
      </c>
      <c r="J44" s="66">
        <f>'CIL Mgmt Assumptions'!K11*'CIL Mgmt Assumptions'!K13</f>
        <v>529166.66666666663</v>
      </c>
      <c r="K44" s="66">
        <f>'CIL Mgmt Assumptions'!L11*'CIL Mgmt Assumptions'!L13</f>
        <v>534166.66666666663</v>
      </c>
      <c r="L44" s="66">
        <f>'CIL Mgmt Assumptions'!M11*'CIL Mgmt Assumptions'!M13</f>
        <v>534166.66666666663</v>
      </c>
      <c r="M44" s="66">
        <f>'CIL Mgmt Assumptions'!N11*'CIL Mgmt Assumptions'!N13</f>
        <v>566666.66666666663</v>
      </c>
      <c r="N44" s="156">
        <f t="shared" ref="N44:N51" si="14">SUM(B44:M44)</f>
        <v>5964166.6666666679</v>
      </c>
      <c r="O44" s="66">
        <f>$M44*(1+'CIL Mgmt Assumptions'!$D$19)</f>
        <v>583666.66666666663</v>
      </c>
      <c r="P44" s="66">
        <f>$M44*(1+'CIL Mgmt Assumptions'!$D$19)</f>
        <v>583666.66666666663</v>
      </c>
      <c r="Q44" s="66">
        <f>$M44*(1+'CIL Mgmt Assumptions'!$D$19)</f>
        <v>583666.66666666663</v>
      </c>
      <c r="R44" s="66">
        <f>$M44*(1+'CIL Mgmt Assumptions'!$D$19)</f>
        <v>583666.66666666663</v>
      </c>
      <c r="S44" s="66">
        <f>$M44*(1+'CIL Mgmt Assumptions'!$D$19)</f>
        <v>583666.66666666663</v>
      </c>
      <c r="T44" s="66">
        <f>$M44*(1+'CIL Mgmt Assumptions'!$D$19)</f>
        <v>583666.66666666663</v>
      </c>
      <c r="U44" s="66">
        <f>$M44*(1+'CIL Mgmt Assumptions'!$D$19)</f>
        <v>583666.66666666663</v>
      </c>
      <c r="V44" s="66">
        <f>$M44*(1+'CIL Mgmt Assumptions'!$D$19)</f>
        <v>583666.66666666663</v>
      </c>
      <c r="W44" s="66">
        <f>$M44*(1+'CIL Mgmt Assumptions'!$D$19)</f>
        <v>583666.66666666663</v>
      </c>
      <c r="X44" s="66">
        <f>$M44*(1+'CIL Mgmt Assumptions'!$D$19)</f>
        <v>583666.66666666663</v>
      </c>
      <c r="Y44" s="66">
        <f>$M44*(1+'CIL Mgmt Assumptions'!$D$19)</f>
        <v>583666.66666666663</v>
      </c>
      <c r="Z44" s="66">
        <f>$M44*(1+'CIL Mgmt Assumptions'!$D$19)</f>
        <v>583666.66666666663</v>
      </c>
      <c r="AA44" s="59">
        <f t="shared" ref="AA44:AA51" si="15">SUM(O44:Z44)</f>
        <v>7004000.0000000009</v>
      </c>
      <c r="AB44" s="175">
        <f>AA44*(1+'CIL Mgmt Assumptions'!E19)</f>
        <v>7214120.0000000009</v>
      </c>
      <c r="AC44" s="175">
        <f>AB44*(1+'CIL Mgmt Assumptions'!F19)</f>
        <v>7430543.6000000015</v>
      </c>
      <c r="AD44" s="175">
        <f>AC44*(1+'CIL Mgmt Assumptions'!G19)</f>
        <v>7653459.9080000017</v>
      </c>
    </row>
    <row r="45" spans="1:30" x14ac:dyDescent="0.2">
      <c r="A45" s="67" t="s">
        <v>265</v>
      </c>
      <c r="B45" s="66">
        <f>(Headcount!I143-Headcount!I145)*'CIL Mgmt Assumptions'!$B$23*'CIL Mgmt Assumptions'!C13</f>
        <v>1445.9233333333332</v>
      </c>
      <c r="C45" s="66">
        <f>(Headcount!J143-Headcount!J145)*'CIL Mgmt Assumptions'!$B$23*'CIL Mgmt Assumptions'!D13</f>
        <v>1487.5</v>
      </c>
      <c r="D45" s="66">
        <f>(Headcount!K143-Headcount!K145)*'CIL Mgmt Assumptions'!$B$23*'CIL Mgmt Assumptions'!E13</f>
        <v>1820.8333333333335</v>
      </c>
      <c r="E45" s="66">
        <f>(Headcount!L143-Headcount!L145)*'CIL Mgmt Assumptions'!$B$23*'CIL Mgmt Assumptions'!F13</f>
        <v>2154.1666666666665</v>
      </c>
      <c r="F45" s="66">
        <f>(Headcount!M143-Headcount!M145)*'CIL Mgmt Assumptions'!$B$23*'CIL Mgmt Assumptions'!G13</f>
        <v>2495.8333333333335</v>
      </c>
      <c r="G45" s="66">
        <f>(Headcount!N143-Headcount!N145)*'CIL Mgmt Assumptions'!$B$23*'CIL Mgmt Assumptions'!H13</f>
        <v>3729.1666666666665</v>
      </c>
      <c r="H45" s="66">
        <f>(Headcount!O143-Headcount!O145)*'CIL Mgmt Assumptions'!$B$23*'CIL Mgmt Assumptions'!I13</f>
        <v>3970.8333333333326</v>
      </c>
      <c r="I45" s="66">
        <f>(Headcount!P143-Headcount!P145)*'CIL Mgmt Assumptions'!$B$23*'CIL Mgmt Assumptions'!J13</f>
        <v>4304.1666666666661</v>
      </c>
      <c r="J45" s="66">
        <f>(Headcount!Q143-Headcount!Q145)*'CIL Mgmt Assumptions'!$B$23*'CIL Mgmt Assumptions'!K13</f>
        <v>4545.833333333333</v>
      </c>
      <c r="K45" s="66">
        <f>(Headcount!R143-Headcount!R145)*'CIL Mgmt Assumptions'!$B$23*'CIL Mgmt Assumptions'!L13</f>
        <v>4937.4999999999991</v>
      </c>
      <c r="L45" s="66">
        <f>(Headcount!S143-Headcount!S145)*'CIL Mgmt Assumptions'!$B$23*'CIL Mgmt Assumptions'!M13</f>
        <v>4937.4999999999991</v>
      </c>
      <c r="M45" s="66">
        <f>(Headcount!T143-Headcount!T145)*'CIL Mgmt Assumptions'!$B$23*'CIL Mgmt Assumptions'!N13</f>
        <v>4937.4999999999991</v>
      </c>
      <c r="N45" s="156">
        <f t="shared" si="14"/>
        <v>40766.756666666661</v>
      </c>
      <c r="O45" s="66">
        <f>$M$45*(1+'CIL Mgmt Assumptions'!$D$19)</f>
        <v>5085.6249999999991</v>
      </c>
      <c r="P45" s="66">
        <f>$M$45*(1+'CIL Mgmt Assumptions'!$D$19)</f>
        <v>5085.6249999999991</v>
      </c>
      <c r="Q45" s="66">
        <f>$M$45*(1+'CIL Mgmt Assumptions'!$D$19)</f>
        <v>5085.6249999999991</v>
      </c>
      <c r="R45" s="66">
        <f>$M$45*(1+'CIL Mgmt Assumptions'!$D$19)</f>
        <v>5085.6249999999991</v>
      </c>
      <c r="S45" s="66">
        <f>$M$45*(1+'CIL Mgmt Assumptions'!$D$19)</f>
        <v>5085.6249999999991</v>
      </c>
      <c r="T45" s="66">
        <f>$M$45*(1+'CIL Mgmt Assumptions'!$D$19)</f>
        <v>5085.6249999999991</v>
      </c>
      <c r="U45" s="66">
        <f>$M$45*(1+'CIL Mgmt Assumptions'!$D$19)</f>
        <v>5085.6249999999991</v>
      </c>
      <c r="V45" s="66">
        <f>$M$45*(1+'CIL Mgmt Assumptions'!$D$19)</f>
        <v>5085.6249999999991</v>
      </c>
      <c r="W45" s="66">
        <f>$M$45*(1+'CIL Mgmt Assumptions'!$D$19)</f>
        <v>5085.6249999999991</v>
      </c>
      <c r="X45" s="66">
        <f>$M$45*(1+'CIL Mgmt Assumptions'!$D$19)</f>
        <v>5085.6249999999991</v>
      </c>
      <c r="Y45" s="66">
        <f>$M$45*(1+'CIL Mgmt Assumptions'!$D$19)</f>
        <v>5085.6249999999991</v>
      </c>
      <c r="Z45" s="66">
        <f>$M$45*(1+'CIL Mgmt Assumptions'!$D$19)</f>
        <v>5085.6249999999991</v>
      </c>
      <c r="AA45" s="59">
        <f t="shared" si="15"/>
        <v>61027.499999999993</v>
      </c>
      <c r="AB45" s="175">
        <f>AA45*(1+'CIL Mgmt Assumptions'!E19)</f>
        <v>62858.324999999997</v>
      </c>
      <c r="AC45" s="175">
        <f>AB45*(1+'CIL Mgmt Assumptions'!F19)</f>
        <v>64744.07475</v>
      </c>
      <c r="AD45" s="175">
        <f>AC45*(1+'CIL Mgmt Assumptions'!G19)</f>
        <v>66686.396992499998</v>
      </c>
    </row>
    <row r="46" spans="1:30" x14ac:dyDescent="0.2">
      <c r="A46" s="67" t="s">
        <v>266</v>
      </c>
      <c r="B46" s="66">
        <f>Headcount!I334*'CIL Mgmt Assumptions'!$B$30*'CIL Mgmt Assumptions'!C13</f>
        <v>61125</v>
      </c>
      <c r="C46" s="66">
        <f>Headcount!J334*'CIL Mgmt Assumptions'!$B$30*'CIL Mgmt Assumptions'!D13</f>
        <v>61125</v>
      </c>
      <c r="D46" s="66">
        <f>Headcount!K334*'CIL Mgmt Assumptions'!$B$30*'CIL Mgmt Assumptions'!E13</f>
        <v>61125</v>
      </c>
      <c r="E46" s="66">
        <f>Headcount!L334*'CIL Mgmt Assumptions'!$B$30*'CIL Mgmt Assumptions'!F13</f>
        <v>61125</v>
      </c>
      <c r="F46" s="66">
        <f>Headcount!M334*'CIL Mgmt Assumptions'!$B$30*'CIL Mgmt Assumptions'!G13</f>
        <v>61125</v>
      </c>
      <c r="G46" s="66">
        <f>Headcount!N334*'CIL Mgmt Assumptions'!$B$30*'CIL Mgmt Assumptions'!H13</f>
        <v>61125</v>
      </c>
      <c r="H46" s="66">
        <f>Headcount!O334*'CIL Mgmt Assumptions'!$B$30*'CIL Mgmt Assumptions'!I13</f>
        <v>61125</v>
      </c>
      <c r="I46" s="66">
        <f>Headcount!P334*'CIL Mgmt Assumptions'!$B$30*'CIL Mgmt Assumptions'!J13</f>
        <v>61125</v>
      </c>
      <c r="J46" s="66">
        <f>Headcount!Q334*'CIL Mgmt Assumptions'!$B$30*'CIL Mgmt Assumptions'!K13</f>
        <v>61125</v>
      </c>
      <c r="K46" s="66">
        <f>Headcount!R334*'CIL Mgmt Assumptions'!$B$30*'CIL Mgmt Assumptions'!L13</f>
        <v>61125</v>
      </c>
      <c r="L46" s="66">
        <f>Headcount!S334*'CIL Mgmt Assumptions'!$B$30*'CIL Mgmt Assumptions'!M13</f>
        <v>61125</v>
      </c>
      <c r="M46" s="66">
        <f>Headcount!T334*'CIL Mgmt Assumptions'!$B$30*'CIL Mgmt Assumptions'!N13</f>
        <v>61125</v>
      </c>
      <c r="N46" s="156">
        <f t="shared" si="14"/>
        <v>733500</v>
      </c>
      <c r="O46" s="66">
        <f>$M46*(1+'CIL Mgmt Assumptions'!$E$19)</f>
        <v>62958.75</v>
      </c>
      <c r="P46" s="66">
        <f>$M46*(1+'CIL Mgmt Assumptions'!$E$19)</f>
        <v>62958.75</v>
      </c>
      <c r="Q46" s="66">
        <f>$M46*(1+'CIL Mgmt Assumptions'!$E$19)</f>
        <v>62958.75</v>
      </c>
      <c r="R46" s="66">
        <f>$M46*(1+'CIL Mgmt Assumptions'!$E$19)</f>
        <v>62958.75</v>
      </c>
      <c r="S46" s="66">
        <f>$M46*(1+'CIL Mgmt Assumptions'!$E$19)</f>
        <v>62958.75</v>
      </c>
      <c r="T46" s="66">
        <f>$M46*(1+'CIL Mgmt Assumptions'!$E$19)</f>
        <v>62958.75</v>
      </c>
      <c r="U46" s="66">
        <f>$M46*(1+'CIL Mgmt Assumptions'!$E$19)</f>
        <v>62958.75</v>
      </c>
      <c r="V46" s="66">
        <f>$M46*(1+'CIL Mgmt Assumptions'!$E$19)</f>
        <v>62958.75</v>
      </c>
      <c r="W46" s="66">
        <f>$M46*(1+'CIL Mgmt Assumptions'!$E$19)</f>
        <v>62958.75</v>
      </c>
      <c r="X46" s="66">
        <f>$M46*(1+'CIL Mgmt Assumptions'!$E$19)</f>
        <v>62958.75</v>
      </c>
      <c r="Y46" s="66">
        <f>$M46*(1+'CIL Mgmt Assumptions'!$E$19)</f>
        <v>62958.75</v>
      </c>
      <c r="Z46" s="66">
        <f>$M46*(1+'CIL Mgmt Assumptions'!$E$19)</f>
        <v>62958.75</v>
      </c>
      <c r="AA46" s="59">
        <f t="shared" si="15"/>
        <v>755505</v>
      </c>
      <c r="AB46" s="175">
        <f>AA46*(1+'CIL Mgmt Assumptions'!E19)</f>
        <v>778170.15</v>
      </c>
      <c r="AC46" s="175">
        <f>AB46*(1+'CIL Mgmt Assumptions'!F19)</f>
        <v>801515.25450000004</v>
      </c>
      <c r="AD46" s="175">
        <f>AC46*(1+'CIL Mgmt Assumptions'!G19)</f>
        <v>825560.71213500004</v>
      </c>
    </row>
    <row r="47" spans="1:30" x14ac:dyDescent="0.2">
      <c r="A47" s="67" t="s">
        <v>267</v>
      </c>
      <c r="B47" s="66">
        <f>(B44+B45+B46)*'CIL Mgmt Assumptions'!$B$28</f>
        <v>39454.432727333333</v>
      </c>
      <c r="C47" s="66">
        <f>(C44+C45+C46)*'CIL Mgmt Assumptions'!$B$28</f>
        <v>39457.6175</v>
      </c>
      <c r="D47" s="66">
        <f>(D44+D45+D46)*'CIL Mgmt Assumptions'!$B$28</f>
        <v>39483.150833333333</v>
      </c>
      <c r="E47" s="66">
        <f>(E44+E45+E46)*'CIL Mgmt Assumptions'!$B$28</f>
        <v>39508.684166666666</v>
      </c>
      <c r="F47" s="66">
        <f>(F44+F45+F46)*'CIL Mgmt Assumptions'!$B$28</f>
        <v>39534.855833333335</v>
      </c>
      <c r="G47" s="66">
        <f>(G44+G45+G46)*'CIL Mgmt Assumptions'!$B$28</f>
        <v>44225.32916666667</v>
      </c>
      <c r="H47" s="66">
        <f>(H44+H45+H46)*'CIL Mgmt Assumptions'!$B$28</f>
        <v>44243.840833333328</v>
      </c>
      <c r="I47" s="66">
        <f>(I44+I45+I46)*'CIL Mgmt Assumptions'!$B$28</f>
        <v>44269.374166666676</v>
      </c>
      <c r="J47" s="66">
        <f>(J44+J45+J46)*'CIL Mgmt Assumptions'!$B$28</f>
        <v>45564.552499999998</v>
      </c>
      <c r="K47" s="66">
        <f>(K44+K45+K46)*'CIL Mgmt Assumptions'!$B$28</f>
        <v>45977.554166666661</v>
      </c>
      <c r="L47" s="66">
        <f>(L44+L45+L46)*'CIL Mgmt Assumptions'!$B$28</f>
        <v>45977.554166666661</v>
      </c>
      <c r="M47" s="66">
        <f>(M44+M45+M46)*'CIL Mgmt Assumptions'!$B$28</f>
        <v>48467.054166666661</v>
      </c>
      <c r="N47" s="156">
        <f t="shared" si="14"/>
        <v>516164.00022733322</v>
      </c>
      <c r="O47" s="66">
        <f>(O44+O45+O46)*'CIL Mgmt Assumptions'!$B$28</f>
        <v>49921.065791666668</v>
      </c>
      <c r="P47" s="66">
        <f>(P44+P45+P46)*'CIL Mgmt Assumptions'!$B$28</f>
        <v>49921.065791666668</v>
      </c>
      <c r="Q47" s="66">
        <f>(Q44+Q45+Q46)*'CIL Mgmt Assumptions'!$B$28</f>
        <v>49921.065791666668</v>
      </c>
      <c r="R47" s="66">
        <f>(R44+R45+R46)*'CIL Mgmt Assumptions'!$B$28</f>
        <v>49921.065791666668</v>
      </c>
      <c r="S47" s="66">
        <f>(S44+S45+S46)*'CIL Mgmt Assumptions'!$B$28</f>
        <v>49921.065791666668</v>
      </c>
      <c r="T47" s="66">
        <f>(T44+T45+T46)*'CIL Mgmt Assumptions'!$B$28</f>
        <v>49921.065791666668</v>
      </c>
      <c r="U47" s="66">
        <f>(U44+U45+U46)*'CIL Mgmt Assumptions'!$B$28</f>
        <v>49921.065791666668</v>
      </c>
      <c r="V47" s="66">
        <f>(V44+V45+V46)*'CIL Mgmt Assumptions'!$B$28</f>
        <v>49921.065791666668</v>
      </c>
      <c r="W47" s="66">
        <f>(W44+W45+W46)*'CIL Mgmt Assumptions'!$B$28</f>
        <v>49921.065791666668</v>
      </c>
      <c r="X47" s="66">
        <f>(X44+X45+X46)*'CIL Mgmt Assumptions'!$B$28</f>
        <v>49921.065791666668</v>
      </c>
      <c r="Y47" s="66">
        <f>(Y44+Y45+Y46)*'CIL Mgmt Assumptions'!$B$28</f>
        <v>49921.065791666668</v>
      </c>
      <c r="Z47" s="66">
        <f>(Z44+Z45+Z46)*'CIL Mgmt Assumptions'!$B$28</f>
        <v>49921.065791666668</v>
      </c>
      <c r="AA47" s="59">
        <f t="shared" si="15"/>
        <v>599052.78950000007</v>
      </c>
      <c r="AB47" s="175">
        <f>(AB44+AB45+AB46)*'CIL Mgmt Assumptions'!$B$28</f>
        <v>617024.37318500015</v>
      </c>
      <c r="AC47" s="175">
        <f>(AC44+AC45+AC46)*'CIL Mgmt Assumptions'!$B$28</f>
        <v>635535.1043805501</v>
      </c>
      <c r="AD47" s="175">
        <f>(AD44+AD45+AD46)*'CIL Mgmt Assumptions'!$B$28</f>
        <v>654601.15751196654</v>
      </c>
    </row>
    <row r="48" spans="1:30" x14ac:dyDescent="0.2">
      <c r="A48" s="62" t="s">
        <v>185</v>
      </c>
      <c r="B48" s="66">
        <f>Headcount!I331*'CIL Mgmt Assumptions'!$B$36*'CIL Mgmt Assumptions'!$B$39*'CIL Mgmt Assumptions'!C13</f>
        <v>27000</v>
      </c>
      <c r="C48" s="66">
        <f>Headcount!J331*'CIL Mgmt Assumptions'!$B$36*'CIL Mgmt Assumptions'!$B$39*'CIL Mgmt Assumptions'!D13</f>
        <v>27000</v>
      </c>
      <c r="D48" s="66">
        <f>Headcount!K331*'CIL Mgmt Assumptions'!$B$36*'CIL Mgmt Assumptions'!$B$39*'CIL Mgmt Assumptions'!E13</f>
        <v>27000</v>
      </c>
      <c r="E48" s="66">
        <f>Headcount!L331*'CIL Mgmt Assumptions'!$B$36*'CIL Mgmt Assumptions'!$B$39*'CIL Mgmt Assumptions'!F13</f>
        <v>27000</v>
      </c>
      <c r="F48" s="66">
        <f>Headcount!M331*'CIL Mgmt Assumptions'!$B$36*'CIL Mgmt Assumptions'!$B$39*'CIL Mgmt Assumptions'!G13</f>
        <v>27000</v>
      </c>
      <c r="G48" s="66">
        <f>Headcount!N331*'CIL Mgmt Assumptions'!$B$36*'CIL Mgmt Assumptions'!$B$39*'CIL Mgmt Assumptions'!H13</f>
        <v>43200</v>
      </c>
      <c r="H48" s="66">
        <f>Headcount!O331*'CIL Mgmt Assumptions'!$B$36*'CIL Mgmt Assumptions'!$B$39*'CIL Mgmt Assumptions'!I13</f>
        <v>43200</v>
      </c>
      <c r="I48" s="66">
        <f>Headcount!P331*'CIL Mgmt Assumptions'!$B$36*'CIL Mgmt Assumptions'!$B$39*'CIL Mgmt Assumptions'!J13</f>
        <v>43200</v>
      </c>
      <c r="J48" s="66">
        <f>Headcount!Q331*'CIL Mgmt Assumptions'!$B$36*'CIL Mgmt Assumptions'!$B$39*'CIL Mgmt Assumptions'!K13</f>
        <v>46800</v>
      </c>
      <c r="K48" s="66">
        <f>Headcount!R331*'CIL Mgmt Assumptions'!$B$36*'CIL Mgmt Assumptions'!$B$39*'CIL Mgmt Assumptions'!L13</f>
        <v>48600</v>
      </c>
      <c r="L48" s="66">
        <f>Headcount!S331*'CIL Mgmt Assumptions'!$B$36*'CIL Mgmt Assumptions'!$B$39*'CIL Mgmt Assumptions'!M13</f>
        <v>48600</v>
      </c>
      <c r="M48" s="66">
        <f>Headcount!T331*'CIL Mgmt Assumptions'!$B$36*'CIL Mgmt Assumptions'!$B$39*'CIL Mgmt Assumptions'!N13</f>
        <v>57600</v>
      </c>
      <c r="N48" s="156">
        <f t="shared" si="14"/>
        <v>466200</v>
      </c>
      <c r="O48" s="65">
        <f>$M48*(1+'CIL Mgmt Assumptions'!$D$36)</f>
        <v>62208.000000000007</v>
      </c>
      <c r="P48" s="65">
        <f>$M48*(1+'CIL Mgmt Assumptions'!$D$36)</f>
        <v>62208.000000000007</v>
      </c>
      <c r="Q48" s="65">
        <f>$M48*(1+'CIL Mgmt Assumptions'!$D$36)</f>
        <v>62208.000000000007</v>
      </c>
      <c r="R48" s="65">
        <f>$M48*(1+'CIL Mgmt Assumptions'!$D$36)</f>
        <v>62208.000000000007</v>
      </c>
      <c r="S48" s="65">
        <f>$M48*(1+'CIL Mgmt Assumptions'!$D$36)</f>
        <v>62208.000000000007</v>
      </c>
      <c r="T48" s="65">
        <f>$M48*(1+'CIL Mgmt Assumptions'!$D$36)</f>
        <v>62208.000000000007</v>
      </c>
      <c r="U48" s="65">
        <f>$M48*(1+'CIL Mgmt Assumptions'!$D$36)</f>
        <v>62208.000000000007</v>
      </c>
      <c r="V48" s="65">
        <f>$M48*(1+'CIL Mgmt Assumptions'!$D$36)</f>
        <v>62208.000000000007</v>
      </c>
      <c r="W48" s="65">
        <f>$M48*(1+'CIL Mgmt Assumptions'!$D$36)</f>
        <v>62208.000000000007</v>
      </c>
      <c r="X48" s="65">
        <f>$M48*(1+'CIL Mgmt Assumptions'!$D$36)</f>
        <v>62208.000000000007</v>
      </c>
      <c r="Y48" s="65">
        <f>$M48*(1+'CIL Mgmt Assumptions'!$D$36)</f>
        <v>62208.000000000007</v>
      </c>
      <c r="Z48" s="65">
        <f>$M48*(1+'CIL Mgmt Assumptions'!$D$36)</f>
        <v>62208.000000000007</v>
      </c>
      <c r="AA48" s="59">
        <f t="shared" si="15"/>
        <v>746496.00000000012</v>
      </c>
      <c r="AB48" s="175">
        <f>AA48*(1+'CIL Mgmt Assumptions'!E36)</f>
        <v>806215.68000000017</v>
      </c>
      <c r="AC48" s="175">
        <f>AB48*(1+'CIL Mgmt Assumptions'!F36)</f>
        <v>870712.93440000026</v>
      </c>
      <c r="AD48" s="175">
        <f>AC48*(1+'CIL Mgmt Assumptions'!G36)</f>
        <v>940369.96915200038</v>
      </c>
    </row>
    <row r="49" spans="1:30" x14ac:dyDescent="0.2">
      <c r="A49" s="67" t="s">
        <v>268</v>
      </c>
      <c r="B49" s="66">
        <f>(B44+B45+B46)*'CIL Mgmt Assumptions'!$B$42</f>
        <v>20602.836933333336</v>
      </c>
      <c r="C49" s="66">
        <f>(C44+C45+C46)*'CIL Mgmt Assumptions'!$B$42</f>
        <v>20604.5</v>
      </c>
      <c r="D49" s="66">
        <f>(D44+D45+D46)*'CIL Mgmt Assumptions'!$B$42</f>
        <v>20617.833333333332</v>
      </c>
      <c r="E49" s="66">
        <f>(E44+E45+E46)*'CIL Mgmt Assumptions'!$B$42</f>
        <v>20631.166666666668</v>
      </c>
      <c r="F49" s="66">
        <f>(F44+F45+F46)*'CIL Mgmt Assumptions'!$B$42</f>
        <v>20644.833333333332</v>
      </c>
      <c r="G49" s="66">
        <f>(G44+G45+G46)*'CIL Mgmt Assumptions'!$B$42</f>
        <v>23094.166666666672</v>
      </c>
      <c r="H49" s="66">
        <f>(H44+H45+H46)*'CIL Mgmt Assumptions'!$B$42</f>
        <v>23103.833333333332</v>
      </c>
      <c r="I49" s="66">
        <f>(I44+I45+I46)*'CIL Mgmt Assumptions'!$B$42</f>
        <v>23117.166666666672</v>
      </c>
      <c r="J49" s="66">
        <f>(J44+J45+J46)*'CIL Mgmt Assumptions'!$B$42</f>
        <v>23793.5</v>
      </c>
      <c r="K49" s="66">
        <f>(K44+K45+K46)*'CIL Mgmt Assumptions'!$B$42</f>
        <v>24009.166666666664</v>
      </c>
      <c r="L49" s="66">
        <f>(L44+L45+L46)*'CIL Mgmt Assumptions'!$B$42</f>
        <v>24009.166666666664</v>
      </c>
      <c r="M49" s="66">
        <f>(M44+M45+M46)*'CIL Mgmt Assumptions'!$B$42</f>
        <v>25309.166666666664</v>
      </c>
      <c r="N49" s="156">
        <f t="shared" si="14"/>
        <v>269537.33693333337</v>
      </c>
      <c r="O49" s="66">
        <f>(O44+O45+O46)*'CIL Mgmt Assumptions'!$B$42</f>
        <v>26068.441666666666</v>
      </c>
      <c r="P49" s="66">
        <f>(P44+P45+P46)*'CIL Mgmt Assumptions'!$B$42</f>
        <v>26068.441666666666</v>
      </c>
      <c r="Q49" s="66">
        <f>(Q44+Q45+Q46)*'CIL Mgmt Assumptions'!$B$42</f>
        <v>26068.441666666666</v>
      </c>
      <c r="R49" s="66">
        <f>(R44+R45+R46)*'CIL Mgmt Assumptions'!$B$42</f>
        <v>26068.441666666666</v>
      </c>
      <c r="S49" s="66">
        <f>(S44+S45+S46)*'CIL Mgmt Assumptions'!$B$42</f>
        <v>26068.441666666666</v>
      </c>
      <c r="T49" s="66">
        <f>(T44+T45+T46)*'CIL Mgmt Assumptions'!$B$42</f>
        <v>26068.441666666666</v>
      </c>
      <c r="U49" s="66">
        <f>(U44+U45+U46)*'CIL Mgmt Assumptions'!$B$42</f>
        <v>26068.441666666666</v>
      </c>
      <c r="V49" s="66">
        <f>(V44+V45+V46)*'CIL Mgmt Assumptions'!$B$42</f>
        <v>26068.441666666666</v>
      </c>
      <c r="W49" s="66">
        <f>(W44+W45+W46)*'CIL Mgmt Assumptions'!$B$42</f>
        <v>26068.441666666666</v>
      </c>
      <c r="X49" s="66">
        <f>(X44+X45+X46)*'CIL Mgmt Assumptions'!$B$42</f>
        <v>26068.441666666666</v>
      </c>
      <c r="Y49" s="66">
        <f>(Y44+Y45+Y46)*'CIL Mgmt Assumptions'!$B$42</f>
        <v>26068.441666666666</v>
      </c>
      <c r="Z49" s="66">
        <f>(Z44+Z45+Z46)*'CIL Mgmt Assumptions'!$B$42</f>
        <v>26068.441666666666</v>
      </c>
      <c r="AA49" s="59">
        <f t="shared" si="15"/>
        <v>312821.29999999993</v>
      </c>
      <c r="AB49" s="175">
        <f>(AB44+AB45+AB46)*'CIL Mgmt Assumptions'!$B$42</f>
        <v>322205.93900000007</v>
      </c>
      <c r="AC49" s="175">
        <f>(AC44+AC45+AC46)*'CIL Mgmt Assumptions'!$B$42</f>
        <v>331872.11717000004</v>
      </c>
      <c r="AD49" s="175">
        <f>(AD44+AD45+AD46)*'CIL Mgmt Assumptions'!$B$42</f>
        <v>341828.28068510006</v>
      </c>
    </row>
    <row r="50" spans="1:30" x14ac:dyDescent="0.2">
      <c r="A50" s="67" t="s">
        <v>199</v>
      </c>
      <c r="B50" s="66">
        <f>(Headcount!$F$337*Headcount!$E$337+Headcount!$F$338*Headcount!$E$338+Headcount!$F$339*Headcount!$E$339+Headcount!$F$340*Headcount!$E$340)/100/12*'CIL Mgmt Assumptions'!C13</f>
        <v>571.71527777777771</v>
      </c>
      <c r="C50" s="66">
        <f>(Headcount!$F$337*Headcount!$E$337+Headcount!$F$338*Headcount!$E$338+Headcount!$F$339*Headcount!$E$339+Headcount!$F$340*Headcount!$E$340)/100/12*'CIL Mgmt Assumptions'!D13</f>
        <v>571.71527777777771</v>
      </c>
      <c r="D50" s="66">
        <f>(Headcount!$F$337*Headcount!$E$337+Headcount!$F$338*Headcount!$E$338+Headcount!$F$339*Headcount!$E$339+Headcount!$F$340*Headcount!$E$340)/100/12*'CIL Mgmt Assumptions'!E13</f>
        <v>571.71527777777771</v>
      </c>
      <c r="E50" s="66">
        <f>(Headcount!$F$337*Headcount!$E$337+Headcount!$F$338*Headcount!$E$338+Headcount!$F$339*Headcount!$E$339+Headcount!$F$340*Headcount!$E$340)/100/12*'CIL Mgmt Assumptions'!F13</f>
        <v>571.71527777777771</v>
      </c>
      <c r="F50" s="66">
        <f>(Headcount!$F$337*Headcount!$E$337+Headcount!$F$338*Headcount!$E$338+Headcount!$F$339*Headcount!$E$339+Headcount!$F$340*Headcount!$E$340)/100/12*'CIL Mgmt Assumptions'!G13</f>
        <v>571.71527777777771</v>
      </c>
      <c r="G50" s="66">
        <f>(Headcount!$F$337*Headcount!$E$337+Headcount!$F$338*Headcount!$E$338+Headcount!$F$339*Headcount!$E$339+Headcount!$F$340*Headcount!$E$340)/100/12*'CIL Mgmt Assumptions'!H13</f>
        <v>571.71527777777771</v>
      </c>
      <c r="H50" s="66">
        <f>(Headcount!$F$337*Headcount!$E$337+Headcount!$F$338*Headcount!$E$338+Headcount!$F$339*Headcount!$E$339+Headcount!$F$340*Headcount!$E$340)/100/12*'CIL Mgmt Assumptions'!I13</f>
        <v>571.71527777777771</v>
      </c>
      <c r="I50" s="66">
        <f>(Headcount!$F$337*Headcount!$E$337+Headcount!$F$338*Headcount!$E$338+Headcount!$F$339*Headcount!$E$339+Headcount!$F$340*Headcount!$E$340)/100/12*'CIL Mgmt Assumptions'!J13</f>
        <v>571.71527777777771</v>
      </c>
      <c r="J50" s="66">
        <f>(Headcount!$F$337*Headcount!$E$337+Headcount!$F$338*Headcount!$E$338+Headcount!$F$339*Headcount!$E$339+Headcount!$F$340*Headcount!$E$340)/100/12*'CIL Mgmt Assumptions'!K13</f>
        <v>571.71527777777771</v>
      </c>
      <c r="K50" s="66">
        <f>(Headcount!$F$337*Headcount!$E$337+Headcount!$F$338*Headcount!$E$338+Headcount!$F$339*Headcount!$E$339+Headcount!$F$340*Headcount!$E$340)/100/12*'CIL Mgmt Assumptions'!L13</f>
        <v>571.71527777777771</v>
      </c>
      <c r="L50" s="66">
        <f>(Headcount!$F$337*Headcount!$E$337+Headcount!$F$338*Headcount!$E$338+Headcount!$F$339*Headcount!$E$339+Headcount!$F$340*Headcount!$E$340)/100/12*'CIL Mgmt Assumptions'!M13</f>
        <v>571.71527777777771</v>
      </c>
      <c r="M50" s="66">
        <f>(Headcount!$F$337*Headcount!$E$337+Headcount!$F$338*Headcount!$E$338+Headcount!$F$339*Headcount!$E$339+Headcount!$F$340*Headcount!$E$340)/100/12*'CIL Mgmt Assumptions'!N13</f>
        <v>571.71527777777771</v>
      </c>
      <c r="N50" s="156">
        <f t="shared" si="14"/>
        <v>6860.5833333333312</v>
      </c>
      <c r="O50" s="66">
        <f>(Headcount!$G$337*Headcount!$E$337+Headcount!$G$338*Headcount!$E$338+Headcount!$G$339*Headcount!$E$339+Headcount!$G$340*Headcount!$E$340)/100/12*'CIL Mgmt Assumptions'!C13</f>
        <v>700.20000000000016</v>
      </c>
      <c r="P50" s="66">
        <f>(Headcount!$G$337*Headcount!$E$337+Headcount!$G$338*Headcount!$E$338+Headcount!$G$339*Headcount!$E$339+Headcount!$G$340*Headcount!$E$340)/100/12*'CIL Mgmt Assumptions'!D13</f>
        <v>700.20000000000016</v>
      </c>
      <c r="Q50" s="66">
        <f>(Headcount!$G$337*Headcount!$E$337+Headcount!$G$338*Headcount!$E$338+Headcount!$G$339*Headcount!$E$339+Headcount!$G$340*Headcount!$E$340)/100/12*'CIL Mgmt Assumptions'!E13</f>
        <v>700.20000000000016</v>
      </c>
      <c r="R50" s="66">
        <f>(Headcount!$G$337*Headcount!$E$337+Headcount!$G$338*Headcount!$E$338+Headcount!$G$339*Headcount!$E$339+Headcount!$G$340*Headcount!$E$340)/100/12*'CIL Mgmt Assumptions'!F13</f>
        <v>700.20000000000016</v>
      </c>
      <c r="S50" s="66">
        <f>(Headcount!$G$337*Headcount!$E$337+Headcount!$G$338*Headcount!$E$338+Headcount!$G$339*Headcount!$E$339+Headcount!$G$340*Headcount!$E$340)/100/12*'CIL Mgmt Assumptions'!G13</f>
        <v>700.20000000000016</v>
      </c>
      <c r="T50" s="66">
        <f>(Headcount!$G$337*Headcount!$E$337+Headcount!$G$338*Headcount!$E$338+Headcount!$G$339*Headcount!$E$339+Headcount!$G$340*Headcount!$E$340)/100/12*'CIL Mgmt Assumptions'!H13</f>
        <v>700.20000000000016</v>
      </c>
      <c r="U50" s="66">
        <f>(Headcount!$G$337*Headcount!$E$337+Headcount!$G$338*Headcount!$E$338+Headcount!$G$339*Headcount!$E$339+Headcount!$G$340*Headcount!$E$340)/100/12*'CIL Mgmt Assumptions'!I13</f>
        <v>700.20000000000016</v>
      </c>
      <c r="V50" s="66">
        <f>(Headcount!$G$337*Headcount!$E$337+Headcount!$G$338*Headcount!$E$338+Headcount!$G$339*Headcount!$E$339+Headcount!$G$340*Headcount!$E$340)/100/12*'CIL Mgmt Assumptions'!J13</f>
        <v>700.20000000000016</v>
      </c>
      <c r="W50" s="66">
        <f>(Headcount!$G$337*Headcount!$E$337+Headcount!$G$338*Headcount!$E$338+Headcount!$G$339*Headcount!$E$339+Headcount!$G$340*Headcount!$E$340)/100/12*'CIL Mgmt Assumptions'!K13</f>
        <v>700.20000000000016</v>
      </c>
      <c r="X50" s="66">
        <f>(Headcount!$G$337*Headcount!$E$337+Headcount!$G$338*Headcount!$E$338+Headcount!$G$339*Headcount!$E$339+Headcount!$G$340*Headcount!$E$340)/100/12*'CIL Mgmt Assumptions'!L13</f>
        <v>700.20000000000016</v>
      </c>
      <c r="Y50" s="66">
        <f>(Headcount!$G$337*Headcount!$E$337+Headcount!$G$338*Headcount!$E$338+Headcount!$G$339*Headcount!$E$339+Headcount!$G$340*Headcount!$E$340)/100/12*'CIL Mgmt Assumptions'!M13</f>
        <v>700.20000000000016</v>
      </c>
      <c r="Z50" s="66">
        <f>(Headcount!$G$337*Headcount!$E$337+Headcount!$G$338*Headcount!$E$338+Headcount!$G$339*Headcount!$E$339+Headcount!$G$340*Headcount!$E$340)/100/12*'CIL Mgmt Assumptions'!N13</f>
        <v>700.20000000000016</v>
      </c>
      <c r="AA50" s="59">
        <f t="shared" si="15"/>
        <v>8402.4</v>
      </c>
      <c r="AB50" s="175">
        <f>AA50*(1+'CIL Mgmt Assumptions'!E19)</f>
        <v>8654.4719999999998</v>
      </c>
      <c r="AC50" s="175">
        <f>AB50*(1+'CIL Mgmt Assumptions'!F19)</f>
        <v>8914.1061599999994</v>
      </c>
      <c r="AD50" s="175">
        <f>AC50*(1+'CIL Mgmt Assumptions'!G19)</f>
        <v>9181.5293447999993</v>
      </c>
    </row>
    <row r="51" spans="1:30" x14ac:dyDescent="0.2">
      <c r="A51" s="67" t="s">
        <v>269</v>
      </c>
      <c r="B51" s="65">
        <f>'FSS Phase 1 Assumptions'!$B$41</f>
        <v>5000</v>
      </c>
      <c r="C51" s="65">
        <f>'FSS Phase 1 Assumptions'!$B$41</f>
        <v>5000</v>
      </c>
      <c r="D51" s="65">
        <f>'FSS Phase 1 Assumptions'!$B$41</f>
        <v>5000</v>
      </c>
      <c r="E51" s="65">
        <f>'FSS Phase 1 Assumptions'!$B$41</f>
        <v>5000</v>
      </c>
      <c r="F51" s="65">
        <f>'FSS Phase 1 Assumptions'!$B$41</f>
        <v>5000</v>
      </c>
      <c r="G51" s="65">
        <f>'FSS Phase 1 Assumptions'!$B$41</f>
        <v>5000</v>
      </c>
      <c r="H51" s="65">
        <f>'FSS Phase 1 Assumptions'!$B$41</f>
        <v>5000</v>
      </c>
      <c r="I51" s="65">
        <f>'FSS Phase 1 Assumptions'!$B$41</f>
        <v>5000</v>
      </c>
      <c r="J51" s="65">
        <f>'FSS Phase 1 Assumptions'!$B$41</f>
        <v>5000</v>
      </c>
      <c r="K51" s="65">
        <f>'FSS Phase 1 Assumptions'!$B$41</f>
        <v>5000</v>
      </c>
      <c r="L51" s="65">
        <f>'FSS Phase 1 Assumptions'!$B$41</f>
        <v>5000</v>
      </c>
      <c r="M51" s="65">
        <f>'FSS Phase 1 Assumptions'!$B$41</f>
        <v>5000</v>
      </c>
      <c r="N51" s="156">
        <f t="shared" si="14"/>
        <v>60000</v>
      </c>
      <c r="O51" s="65">
        <f>$M51*(1+'FSS Phase 1 Assumptions'!$D$41)</f>
        <v>5150</v>
      </c>
      <c r="P51" s="65">
        <f>$M51*(1+'FSS Phase 1 Assumptions'!$D$41)</f>
        <v>5150</v>
      </c>
      <c r="Q51" s="65">
        <f>$M51*(1+'FSS Phase 1 Assumptions'!$D$41)</f>
        <v>5150</v>
      </c>
      <c r="R51" s="65">
        <f>$M51*(1+'FSS Phase 1 Assumptions'!$D$41)</f>
        <v>5150</v>
      </c>
      <c r="S51" s="65">
        <f>$M51*(1+'FSS Phase 1 Assumptions'!$D$41)</f>
        <v>5150</v>
      </c>
      <c r="T51" s="65">
        <f>$M51*(1+'FSS Phase 1 Assumptions'!$D$41)</f>
        <v>5150</v>
      </c>
      <c r="U51" s="65">
        <f>$M51*(1+'FSS Phase 1 Assumptions'!$D$41)</f>
        <v>5150</v>
      </c>
      <c r="V51" s="65">
        <f>$M51*(1+'FSS Phase 1 Assumptions'!$D$41)</f>
        <v>5150</v>
      </c>
      <c r="W51" s="65">
        <f>$M51*(1+'FSS Phase 1 Assumptions'!$D$41)</f>
        <v>5150</v>
      </c>
      <c r="X51" s="65">
        <f>$M51*(1+'FSS Phase 1 Assumptions'!$D$41)</f>
        <v>5150</v>
      </c>
      <c r="Y51" s="65">
        <f>$M51*(1+'FSS Phase 1 Assumptions'!$D$41)</f>
        <v>5150</v>
      </c>
      <c r="Z51" s="65">
        <f>$M51*(1+'FSS Phase 1 Assumptions'!$D$41)</f>
        <v>5150</v>
      </c>
      <c r="AA51" s="59">
        <f t="shared" si="15"/>
        <v>61800</v>
      </c>
      <c r="AB51" s="175">
        <f>AA51*(1+'FSS Phase 1 Assumptions'!E41)</f>
        <v>63654</v>
      </c>
      <c r="AC51" s="175">
        <f>AB51*(1+'FSS Phase 1 Assumptions'!F41)</f>
        <v>65563.62</v>
      </c>
      <c r="AD51" s="175">
        <f>AC51*(1+'FSS Phase 1 Assumptions'!G41)</f>
        <v>67530.528599999991</v>
      </c>
    </row>
    <row r="52" spans="1:30" x14ac:dyDescent="0.2">
      <c r="A52" s="76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160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132"/>
      <c r="AB52" s="174"/>
      <c r="AC52" s="174"/>
      <c r="AD52" s="174"/>
    </row>
    <row r="53" spans="1:30" s="80" customFormat="1" collapsed="1" x14ac:dyDescent="0.2">
      <c r="A53" s="79" t="s">
        <v>253</v>
      </c>
      <c r="B53" s="81">
        <f>SUM(B44:B52)</f>
        <v>607699.90827177779</v>
      </c>
      <c r="C53" s="81">
        <f t="shared" ref="C53:N53" si="16">SUM(C44:C52)</f>
        <v>607746.3327777778</v>
      </c>
      <c r="D53" s="81">
        <f t="shared" si="16"/>
        <v>608118.53277777776</v>
      </c>
      <c r="E53" s="81">
        <f t="shared" si="16"/>
        <v>608490.73277777771</v>
      </c>
      <c r="F53" s="81">
        <f t="shared" si="16"/>
        <v>608872.23777777783</v>
      </c>
      <c r="G53" s="81">
        <f t="shared" si="16"/>
        <v>693445.37777777785</v>
      </c>
      <c r="H53" s="81">
        <f t="shared" si="16"/>
        <v>693715.2227777777</v>
      </c>
      <c r="I53" s="81">
        <f t="shared" si="16"/>
        <v>694087.42277777777</v>
      </c>
      <c r="J53" s="81">
        <f t="shared" si="16"/>
        <v>716567.26777777774</v>
      </c>
      <c r="K53" s="81">
        <f t="shared" si="16"/>
        <v>724387.60277777771</v>
      </c>
      <c r="L53" s="81">
        <f t="shared" si="16"/>
        <v>724387.60277777771</v>
      </c>
      <c r="M53" s="81">
        <f t="shared" si="16"/>
        <v>769677.10277777771</v>
      </c>
      <c r="N53" s="81">
        <f t="shared" si="16"/>
        <v>8057195.3438273342</v>
      </c>
      <c r="O53" s="81">
        <f t="shared" ref="O53" si="17">SUM(O44:O52)</f>
        <v>795758.74912499986</v>
      </c>
      <c r="P53" s="81">
        <f t="shared" ref="P53" si="18">SUM(P44:P52)</f>
        <v>795758.74912499986</v>
      </c>
      <c r="Q53" s="81">
        <f t="shared" ref="Q53" si="19">SUM(Q44:Q52)</f>
        <v>795758.74912499986</v>
      </c>
      <c r="R53" s="81">
        <f t="shared" ref="R53" si="20">SUM(R44:R52)</f>
        <v>795758.74912499986</v>
      </c>
      <c r="S53" s="81">
        <f t="shared" ref="S53" si="21">SUM(S44:S52)</f>
        <v>795758.74912499986</v>
      </c>
      <c r="T53" s="81">
        <f t="shared" ref="T53" si="22">SUM(T44:T52)</f>
        <v>795758.74912499986</v>
      </c>
      <c r="U53" s="81">
        <f t="shared" ref="U53" si="23">SUM(U44:U52)</f>
        <v>795758.74912499986</v>
      </c>
      <c r="V53" s="81">
        <f t="shared" ref="V53" si="24">SUM(V44:V52)</f>
        <v>795758.74912499986</v>
      </c>
      <c r="W53" s="81">
        <f t="shared" ref="W53" si="25">SUM(W44:W52)</f>
        <v>795758.74912499986</v>
      </c>
      <c r="X53" s="81">
        <f t="shared" ref="X53" si="26">SUM(X44:X52)</f>
        <v>795758.74912499986</v>
      </c>
      <c r="Y53" s="81">
        <f t="shared" ref="Y53" si="27">SUM(Y44:Y52)</f>
        <v>795758.74912499986</v>
      </c>
      <c r="Z53" s="81">
        <f t="shared" ref="Z53" si="28">SUM(Z44:Z52)</f>
        <v>795758.74912499986</v>
      </c>
      <c r="AA53" s="81">
        <f t="shared" ref="AA53:AB53" si="29">SUM(AA44:AA52)</f>
        <v>9549104.9895000029</v>
      </c>
      <c r="AB53" s="81">
        <f t="shared" si="29"/>
        <v>9872902.9391849991</v>
      </c>
      <c r="AC53" s="81">
        <f t="shared" ref="AC53" si="30">SUM(AC44:AC52)</f>
        <v>10209400.811360551</v>
      </c>
      <c r="AD53" s="81">
        <f t="shared" ref="AD53" si="31">SUM(AD44:AD52)</f>
        <v>10559218.482421368</v>
      </c>
    </row>
    <row r="54" spans="1:30" s="80" customFormat="1" x14ac:dyDescent="0.2">
      <c r="A54" s="79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</row>
    <row r="55" spans="1:30" x14ac:dyDescent="0.2">
      <c r="A55" s="74" t="s">
        <v>195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9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168"/>
      <c r="AC55" s="168"/>
      <c r="AD55" s="168"/>
    </row>
    <row r="56" spans="1:30" x14ac:dyDescent="0.2">
      <c r="A56" s="67" t="s">
        <v>219</v>
      </c>
      <c r="B56" s="65">
        <f>'FSS Phase 1 Assumptions'!$B44</f>
        <v>15000</v>
      </c>
      <c r="C56" s="65">
        <f>'FSS Phase 1 Assumptions'!$B44</f>
        <v>15000</v>
      </c>
      <c r="D56" s="65">
        <f>'FSS Phase 1 Assumptions'!$B44</f>
        <v>15000</v>
      </c>
      <c r="E56" s="65">
        <f>'FSS Phase 1 Assumptions'!$B44</f>
        <v>15000</v>
      </c>
      <c r="F56" s="65">
        <f>'FSS Phase 1 Assumptions'!$B44</f>
        <v>15000</v>
      </c>
      <c r="G56" s="65">
        <f>'FSS Phase 1 Assumptions'!$B44</f>
        <v>15000</v>
      </c>
      <c r="H56" s="65">
        <f>'FSS Phase 1 Assumptions'!$B44</f>
        <v>15000</v>
      </c>
      <c r="I56" s="65">
        <f>'FSS Phase 1 Assumptions'!$B44</f>
        <v>15000</v>
      </c>
      <c r="J56" s="65">
        <f>'FSS Phase 1 Assumptions'!$B44</f>
        <v>15000</v>
      </c>
      <c r="K56" s="65">
        <f>'FSS Phase 1 Assumptions'!$B44</f>
        <v>15000</v>
      </c>
      <c r="L56" s="65">
        <f>'FSS Phase 1 Assumptions'!$B44</f>
        <v>15000</v>
      </c>
      <c r="M56" s="65">
        <f>'FSS Phase 1 Assumptions'!$B44</f>
        <v>15000</v>
      </c>
      <c r="N56" s="156">
        <f t="shared" ref="N56:N62" si="32">SUM(B56:M56)</f>
        <v>180000</v>
      </c>
      <c r="O56" s="65">
        <f>$M56*(1+'FSS Phase 1 Assumptions'!$D44)</f>
        <v>15450</v>
      </c>
      <c r="P56" s="65">
        <f>$M56*(1+'FSS Phase 1 Assumptions'!$D44)</f>
        <v>15450</v>
      </c>
      <c r="Q56" s="65">
        <f>$M56*(1+'FSS Phase 1 Assumptions'!$D44)</f>
        <v>15450</v>
      </c>
      <c r="R56" s="65">
        <f>$M56*(1+'FSS Phase 1 Assumptions'!$D44)</f>
        <v>15450</v>
      </c>
      <c r="S56" s="65">
        <f>$M56*(1+'FSS Phase 1 Assumptions'!$D44)</f>
        <v>15450</v>
      </c>
      <c r="T56" s="65">
        <f>$M56*(1+'FSS Phase 1 Assumptions'!$D44)</f>
        <v>15450</v>
      </c>
      <c r="U56" s="65">
        <f>$M56*(1+'FSS Phase 1 Assumptions'!$D44)</f>
        <v>15450</v>
      </c>
      <c r="V56" s="65">
        <f>$M56*(1+'FSS Phase 1 Assumptions'!$D44)</f>
        <v>15450</v>
      </c>
      <c r="W56" s="65">
        <f>$M56*(1+'FSS Phase 1 Assumptions'!$D44)</f>
        <v>15450</v>
      </c>
      <c r="X56" s="65">
        <f>$M56*(1+'FSS Phase 1 Assumptions'!$D44)</f>
        <v>15450</v>
      </c>
      <c r="Y56" s="65">
        <f>$M56*(1+'FSS Phase 1 Assumptions'!$D44)</f>
        <v>15450</v>
      </c>
      <c r="Z56" s="65">
        <f>$M56*(1+'FSS Phase 1 Assumptions'!$D44)</f>
        <v>15450</v>
      </c>
      <c r="AA56" s="59">
        <f t="shared" ref="AA56:AA62" si="33">SUM(O56:Z56)</f>
        <v>185400</v>
      </c>
      <c r="AB56" s="172">
        <f>AA56*(1+'FSS Phase 1 Assumptions'!E44)</f>
        <v>190962</v>
      </c>
      <c r="AC56" s="172">
        <f>AB56*(1+'FSS Phase 1 Assumptions'!F44)</f>
        <v>196690.86000000002</v>
      </c>
      <c r="AD56" s="172">
        <f>AC56*(1+'FSS Phase 1 Assumptions'!G44)</f>
        <v>202591.58580000003</v>
      </c>
    </row>
    <row r="57" spans="1:30" x14ac:dyDescent="0.2">
      <c r="A57" s="67" t="s">
        <v>222</v>
      </c>
      <c r="B57" s="65">
        <f>'FSS Phase 1 Assumptions'!$B45</f>
        <v>25000</v>
      </c>
      <c r="C57" s="65">
        <f>'FSS Phase 1 Assumptions'!$B45</f>
        <v>25000</v>
      </c>
      <c r="D57" s="65">
        <f>'FSS Phase 1 Assumptions'!$B45</f>
        <v>25000</v>
      </c>
      <c r="E57" s="65">
        <f>'FSS Phase 1 Assumptions'!$B45</f>
        <v>25000</v>
      </c>
      <c r="F57" s="65">
        <f>'FSS Phase 1 Assumptions'!$B45</f>
        <v>25000</v>
      </c>
      <c r="G57" s="65">
        <f>'FSS Phase 1 Assumptions'!$B45</f>
        <v>25000</v>
      </c>
      <c r="H57" s="65">
        <f>'FSS Phase 1 Assumptions'!$B45</f>
        <v>25000</v>
      </c>
      <c r="I57" s="65">
        <f>'FSS Phase 1 Assumptions'!$B45</f>
        <v>25000</v>
      </c>
      <c r="J57" s="65">
        <f>'FSS Phase 1 Assumptions'!$B45</f>
        <v>25000</v>
      </c>
      <c r="K57" s="65">
        <f>'FSS Phase 1 Assumptions'!$B45</f>
        <v>25000</v>
      </c>
      <c r="L57" s="65">
        <f>'FSS Phase 1 Assumptions'!$B45</f>
        <v>25000</v>
      </c>
      <c r="M57" s="65">
        <f>'FSS Phase 1 Assumptions'!$B45</f>
        <v>25000</v>
      </c>
      <c r="N57" s="156">
        <f t="shared" si="32"/>
        <v>300000</v>
      </c>
      <c r="O57" s="65">
        <f>$M57*(1+'FSS Phase 1 Assumptions'!$D45)</f>
        <v>25750</v>
      </c>
      <c r="P57" s="65">
        <f>$M57*(1+'FSS Phase 1 Assumptions'!$D45)</f>
        <v>25750</v>
      </c>
      <c r="Q57" s="65">
        <f>$M57*(1+'FSS Phase 1 Assumptions'!$D45)</f>
        <v>25750</v>
      </c>
      <c r="R57" s="65">
        <f>$M57*(1+'FSS Phase 1 Assumptions'!$D45)</f>
        <v>25750</v>
      </c>
      <c r="S57" s="65">
        <f>$M57*(1+'FSS Phase 1 Assumptions'!$D45)</f>
        <v>25750</v>
      </c>
      <c r="T57" s="65">
        <f>$M57*(1+'FSS Phase 1 Assumptions'!$D45)</f>
        <v>25750</v>
      </c>
      <c r="U57" s="65">
        <f>$M57*(1+'FSS Phase 1 Assumptions'!$D45)</f>
        <v>25750</v>
      </c>
      <c r="V57" s="65">
        <f>$M57*(1+'FSS Phase 1 Assumptions'!$D45)</f>
        <v>25750</v>
      </c>
      <c r="W57" s="65">
        <f>$M57*(1+'FSS Phase 1 Assumptions'!$D45)</f>
        <v>25750</v>
      </c>
      <c r="X57" s="65">
        <f>$M57*(1+'FSS Phase 1 Assumptions'!$D45)</f>
        <v>25750</v>
      </c>
      <c r="Y57" s="65">
        <f>$M57*(1+'FSS Phase 1 Assumptions'!$D45)</f>
        <v>25750</v>
      </c>
      <c r="Z57" s="65">
        <f>$M57*(1+'FSS Phase 1 Assumptions'!$D45)</f>
        <v>25750</v>
      </c>
      <c r="AA57" s="59">
        <f t="shared" si="33"/>
        <v>309000</v>
      </c>
      <c r="AB57" s="172">
        <f>AA57*(1+'FSS Phase 1 Assumptions'!E45)</f>
        <v>318270</v>
      </c>
      <c r="AC57" s="172">
        <f>AB57*(1+'FSS Phase 1 Assumptions'!F45)</f>
        <v>327818.10000000003</v>
      </c>
      <c r="AD57" s="172">
        <f>AC57*(1+'FSS Phase 1 Assumptions'!G45)</f>
        <v>337652.64300000004</v>
      </c>
    </row>
    <row r="58" spans="1:30" x14ac:dyDescent="0.2">
      <c r="A58" s="76" t="s">
        <v>220</v>
      </c>
      <c r="B58" s="65">
        <f>'FSS Phase 1 Assumptions'!$B46</f>
        <v>5000</v>
      </c>
      <c r="C58" s="65">
        <f>'FSS Phase 1 Assumptions'!$B46</f>
        <v>5000</v>
      </c>
      <c r="D58" s="65">
        <f>'FSS Phase 1 Assumptions'!$B46</f>
        <v>5000</v>
      </c>
      <c r="E58" s="65">
        <f>'FSS Phase 1 Assumptions'!$B46</f>
        <v>5000</v>
      </c>
      <c r="F58" s="65">
        <f>'FSS Phase 1 Assumptions'!$B46</f>
        <v>5000</v>
      </c>
      <c r="G58" s="65">
        <f>'FSS Phase 1 Assumptions'!$B46</f>
        <v>5000</v>
      </c>
      <c r="H58" s="65">
        <f>'FSS Phase 1 Assumptions'!$B46</f>
        <v>5000</v>
      </c>
      <c r="I58" s="65">
        <f>'FSS Phase 1 Assumptions'!$B46</f>
        <v>5000</v>
      </c>
      <c r="J58" s="65">
        <f>'FSS Phase 1 Assumptions'!$B46</f>
        <v>5000</v>
      </c>
      <c r="K58" s="65">
        <f>'FSS Phase 1 Assumptions'!$B46</f>
        <v>5000</v>
      </c>
      <c r="L58" s="65">
        <f>'FSS Phase 1 Assumptions'!$B46</f>
        <v>5000</v>
      </c>
      <c r="M58" s="65">
        <f>'FSS Phase 1 Assumptions'!$B46</f>
        <v>5000</v>
      </c>
      <c r="N58" s="158">
        <f t="shared" si="32"/>
        <v>60000</v>
      </c>
      <c r="O58" s="65">
        <f>$M58*(1+'FSS Phase 1 Assumptions'!$D46)</f>
        <v>5150</v>
      </c>
      <c r="P58" s="65">
        <f>$M58*(1+'FSS Phase 1 Assumptions'!$D46)</f>
        <v>5150</v>
      </c>
      <c r="Q58" s="65">
        <f>$M58*(1+'FSS Phase 1 Assumptions'!$D46)</f>
        <v>5150</v>
      </c>
      <c r="R58" s="65">
        <f>$M58*(1+'FSS Phase 1 Assumptions'!$D46)</f>
        <v>5150</v>
      </c>
      <c r="S58" s="65">
        <f>$M58*(1+'FSS Phase 1 Assumptions'!$D46)</f>
        <v>5150</v>
      </c>
      <c r="T58" s="65">
        <f>$M58*(1+'FSS Phase 1 Assumptions'!$D46)</f>
        <v>5150</v>
      </c>
      <c r="U58" s="65">
        <f>$M58*(1+'FSS Phase 1 Assumptions'!$D46)</f>
        <v>5150</v>
      </c>
      <c r="V58" s="65">
        <f>$M58*(1+'FSS Phase 1 Assumptions'!$D46)</f>
        <v>5150</v>
      </c>
      <c r="W58" s="65">
        <f>$M58*(1+'FSS Phase 1 Assumptions'!$D46)</f>
        <v>5150</v>
      </c>
      <c r="X58" s="65">
        <f>$M58*(1+'FSS Phase 1 Assumptions'!$D46)</f>
        <v>5150</v>
      </c>
      <c r="Y58" s="65">
        <f>$M58*(1+'FSS Phase 1 Assumptions'!$D46)</f>
        <v>5150</v>
      </c>
      <c r="Z58" s="65">
        <f>$M58*(1+'FSS Phase 1 Assumptions'!$D46)</f>
        <v>5150</v>
      </c>
      <c r="AA58" s="59">
        <f t="shared" si="33"/>
        <v>61800</v>
      </c>
      <c r="AB58" s="172">
        <f>AA58*(1+'FSS Phase 1 Assumptions'!E46)</f>
        <v>63654</v>
      </c>
      <c r="AC58" s="172">
        <f>AB58*(1+'FSS Phase 1 Assumptions'!F46)</f>
        <v>65563.62</v>
      </c>
      <c r="AD58" s="172">
        <f>AC58*(1+'FSS Phase 1 Assumptions'!G46)</f>
        <v>67530.528599999991</v>
      </c>
    </row>
    <row r="59" spans="1:30" x14ac:dyDescent="0.2">
      <c r="A59" s="76" t="s">
        <v>221</v>
      </c>
      <c r="B59" s="65">
        <f>'FSS Phase 1 Assumptions'!$B47</f>
        <v>4500</v>
      </c>
      <c r="C59" s="65">
        <f>'FSS Phase 1 Assumptions'!$B47</f>
        <v>4500</v>
      </c>
      <c r="D59" s="65">
        <f>'FSS Phase 1 Assumptions'!$B47</f>
        <v>4500</v>
      </c>
      <c r="E59" s="65">
        <f>'FSS Phase 1 Assumptions'!$B47</f>
        <v>4500</v>
      </c>
      <c r="F59" s="65">
        <f>'FSS Phase 1 Assumptions'!$B47</f>
        <v>4500</v>
      </c>
      <c r="G59" s="65">
        <f>'FSS Phase 1 Assumptions'!$B47</f>
        <v>4500</v>
      </c>
      <c r="H59" s="65">
        <f>'FSS Phase 1 Assumptions'!$B47</f>
        <v>4500</v>
      </c>
      <c r="I59" s="65">
        <f>'FSS Phase 1 Assumptions'!$B47</f>
        <v>4500</v>
      </c>
      <c r="J59" s="65">
        <f>'FSS Phase 1 Assumptions'!$B47</f>
        <v>4500</v>
      </c>
      <c r="K59" s="65">
        <f>'FSS Phase 1 Assumptions'!$B47</f>
        <v>4500</v>
      </c>
      <c r="L59" s="65">
        <f>'FSS Phase 1 Assumptions'!$B47</f>
        <v>4500</v>
      </c>
      <c r="M59" s="65">
        <f>'FSS Phase 1 Assumptions'!$B47</f>
        <v>4500</v>
      </c>
      <c r="N59" s="158">
        <f t="shared" si="32"/>
        <v>54000</v>
      </c>
      <c r="O59" s="65">
        <f>$M59*(1+'FSS Phase 1 Assumptions'!$D47)</f>
        <v>4635</v>
      </c>
      <c r="P59" s="65">
        <f>$M59*(1+'FSS Phase 1 Assumptions'!$D47)</f>
        <v>4635</v>
      </c>
      <c r="Q59" s="65">
        <f>$M59*(1+'FSS Phase 1 Assumptions'!$D47)</f>
        <v>4635</v>
      </c>
      <c r="R59" s="65">
        <f>$M59*(1+'FSS Phase 1 Assumptions'!$D47)</f>
        <v>4635</v>
      </c>
      <c r="S59" s="65">
        <f>$M59*(1+'FSS Phase 1 Assumptions'!$D47)</f>
        <v>4635</v>
      </c>
      <c r="T59" s="65">
        <f>$M59*(1+'FSS Phase 1 Assumptions'!$D47)</f>
        <v>4635</v>
      </c>
      <c r="U59" s="65">
        <f>$M59*(1+'FSS Phase 1 Assumptions'!$D47)</f>
        <v>4635</v>
      </c>
      <c r="V59" s="65">
        <f>$M59*(1+'FSS Phase 1 Assumptions'!$D47)</f>
        <v>4635</v>
      </c>
      <c r="W59" s="65">
        <f>$M59*(1+'FSS Phase 1 Assumptions'!$D47)</f>
        <v>4635</v>
      </c>
      <c r="X59" s="65">
        <f>$M59*(1+'FSS Phase 1 Assumptions'!$D47)</f>
        <v>4635</v>
      </c>
      <c r="Y59" s="65">
        <f>$M59*(1+'FSS Phase 1 Assumptions'!$D47)</f>
        <v>4635</v>
      </c>
      <c r="Z59" s="65">
        <f>$M59*(1+'FSS Phase 1 Assumptions'!$D47)</f>
        <v>4635</v>
      </c>
      <c r="AA59" s="59">
        <f t="shared" si="33"/>
        <v>55620</v>
      </c>
      <c r="AB59" s="172">
        <f>AA59*(1+'FSS Phase 1 Assumptions'!E47)</f>
        <v>57288.6</v>
      </c>
      <c r="AC59" s="172">
        <f>AB59*(1+'FSS Phase 1 Assumptions'!F47)</f>
        <v>59007.258000000002</v>
      </c>
      <c r="AD59" s="172">
        <f>AC59*(1+'FSS Phase 1 Assumptions'!G47)</f>
        <v>60777.475740000002</v>
      </c>
    </row>
    <row r="60" spans="1:30" x14ac:dyDescent="0.2">
      <c r="A60" s="76" t="s">
        <v>516</v>
      </c>
      <c r="B60" s="65">
        <f>'FSS Phase 1 Assumptions'!$B48</f>
        <v>25000</v>
      </c>
      <c r="C60" s="65">
        <f>'FSS Phase 1 Assumptions'!$B48</f>
        <v>25000</v>
      </c>
      <c r="D60" s="65">
        <f>'FSS Phase 1 Assumptions'!$B48</f>
        <v>25000</v>
      </c>
      <c r="E60" s="65">
        <f>'FSS Phase 1 Assumptions'!$B48</f>
        <v>25000</v>
      </c>
      <c r="F60" s="65">
        <f>'FSS Phase 1 Assumptions'!$B48</f>
        <v>25000</v>
      </c>
      <c r="G60" s="65">
        <f>'FSS Phase 1 Assumptions'!$B48</f>
        <v>25000</v>
      </c>
      <c r="H60" s="65">
        <f>'FSS Phase 1 Assumptions'!$B48</f>
        <v>25000</v>
      </c>
      <c r="I60" s="65">
        <f>'FSS Phase 1 Assumptions'!$B48</f>
        <v>25000</v>
      </c>
      <c r="J60" s="65">
        <f>'FSS Phase 1 Assumptions'!$B48</f>
        <v>25000</v>
      </c>
      <c r="K60" s="65">
        <f>'FSS Phase 1 Assumptions'!$B48</f>
        <v>25000</v>
      </c>
      <c r="L60" s="65">
        <f>'FSS Phase 1 Assumptions'!$B48</f>
        <v>25000</v>
      </c>
      <c r="M60" s="65">
        <f>'FSS Phase 1 Assumptions'!$B48</f>
        <v>25000</v>
      </c>
      <c r="N60" s="158">
        <f t="shared" si="32"/>
        <v>300000</v>
      </c>
      <c r="O60" s="65">
        <f>$M60*(1+'FSS Phase 1 Assumptions'!$D48)</f>
        <v>25750</v>
      </c>
      <c r="P60" s="65">
        <f>$M60*(1+'FSS Phase 1 Assumptions'!$D48)</f>
        <v>25750</v>
      </c>
      <c r="Q60" s="65">
        <f>$M60*(1+'FSS Phase 1 Assumptions'!$D48)</f>
        <v>25750</v>
      </c>
      <c r="R60" s="65">
        <f>$M60*(1+'FSS Phase 1 Assumptions'!$D48)</f>
        <v>25750</v>
      </c>
      <c r="S60" s="65">
        <f>$M60*(1+'FSS Phase 1 Assumptions'!$D48)</f>
        <v>25750</v>
      </c>
      <c r="T60" s="65">
        <f>$M60*(1+'FSS Phase 1 Assumptions'!$D48)</f>
        <v>25750</v>
      </c>
      <c r="U60" s="65">
        <f>$M60*(1+'FSS Phase 1 Assumptions'!$D48)</f>
        <v>25750</v>
      </c>
      <c r="V60" s="65">
        <f>$M60*(1+'FSS Phase 1 Assumptions'!$D48)</f>
        <v>25750</v>
      </c>
      <c r="W60" s="65">
        <f>$M60*(1+'FSS Phase 1 Assumptions'!$D48)</f>
        <v>25750</v>
      </c>
      <c r="X60" s="65">
        <f>$M60*(1+'FSS Phase 1 Assumptions'!$D48)</f>
        <v>25750</v>
      </c>
      <c r="Y60" s="65">
        <f>$M60*(1+'FSS Phase 1 Assumptions'!$D48)</f>
        <v>25750</v>
      </c>
      <c r="Z60" s="65">
        <f>$M60*(1+'FSS Phase 1 Assumptions'!$D48)</f>
        <v>25750</v>
      </c>
      <c r="AA60" s="59">
        <f t="shared" si="33"/>
        <v>309000</v>
      </c>
      <c r="AB60" s="172">
        <f>AA60*(1+'FSS Phase 1 Assumptions'!E48)</f>
        <v>318270</v>
      </c>
      <c r="AC60" s="172">
        <f>AB60*(1+'FSS Phase 1 Assumptions'!F48)</f>
        <v>327818.10000000003</v>
      </c>
      <c r="AD60" s="172">
        <f>AC60*(1+'FSS Phase 1 Assumptions'!G48)</f>
        <v>337652.64300000004</v>
      </c>
    </row>
    <row r="61" spans="1:30" x14ac:dyDescent="0.2">
      <c r="A61" s="76" t="s">
        <v>235</v>
      </c>
      <c r="B61" s="65">
        <f>'FSS Phase 1 Assumptions'!$B49</f>
        <v>2000</v>
      </c>
      <c r="C61" s="65">
        <f>'FSS Phase 1 Assumptions'!$B49</f>
        <v>2000</v>
      </c>
      <c r="D61" s="65">
        <f>'FSS Phase 1 Assumptions'!$B49</f>
        <v>2000</v>
      </c>
      <c r="E61" s="65">
        <f>'FSS Phase 1 Assumptions'!$B49</f>
        <v>2000</v>
      </c>
      <c r="F61" s="65">
        <f>'FSS Phase 1 Assumptions'!$B49</f>
        <v>2000</v>
      </c>
      <c r="G61" s="65">
        <f>'FSS Phase 1 Assumptions'!$B49</f>
        <v>2000</v>
      </c>
      <c r="H61" s="65">
        <f>'FSS Phase 1 Assumptions'!$B49</f>
        <v>2000</v>
      </c>
      <c r="I61" s="65">
        <f>'FSS Phase 1 Assumptions'!$B49</f>
        <v>2000</v>
      </c>
      <c r="J61" s="65">
        <f>'FSS Phase 1 Assumptions'!$B49</f>
        <v>2000</v>
      </c>
      <c r="K61" s="65">
        <f>'FSS Phase 1 Assumptions'!$B49</f>
        <v>2000</v>
      </c>
      <c r="L61" s="65">
        <f>'FSS Phase 1 Assumptions'!$B49</f>
        <v>2000</v>
      </c>
      <c r="M61" s="65">
        <f>'FSS Phase 1 Assumptions'!$B49</f>
        <v>2000</v>
      </c>
      <c r="N61" s="158">
        <f t="shared" si="32"/>
        <v>24000</v>
      </c>
      <c r="O61" s="65">
        <f>$M61*(1+'FSS Phase 1 Assumptions'!$D49)</f>
        <v>2060</v>
      </c>
      <c r="P61" s="65">
        <f>$M61*(1+'FSS Phase 1 Assumptions'!$D49)</f>
        <v>2060</v>
      </c>
      <c r="Q61" s="65">
        <f>$M61*(1+'FSS Phase 1 Assumptions'!$D49)</f>
        <v>2060</v>
      </c>
      <c r="R61" s="65">
        <f>$M61*(1+'FSS Phase 1 Assumptions'!$D49)</f>
        <v>2060</v>
      </c>
      <c r="S61" s="65">
        <f>$M61*(1+'FSS Phase 1 Assumptions'!$D49)</f>
        <v>2060</v>
      </c>
      <c r="T61" s="65">
        <f>$M61*(1+'FSS Phase 1 Assumptions'!$D49)</f>
        <v>2060</v>
      </c>
      <c r="U61" s="65">
        <f>$M61*(1+'FSS Phase 1 Assumptions'!$D49)</f>
        <v>2060</v>
      </c>
      <c r="V61" s="65">
        <f>$M61*(1+'FSS Phase 1 Assumptions'!$D49)</f>
        <v>2060</v>
      </c>
      <c r="W61" s="65">
        <f>$M61*(1+'FSS Phase 1 Assumptions'!$D49)</f>
        <v>2060</v>
      </c>
      <c r="X61" s="65">
        <f>$M61*(1+'FSS Phase 1 Assumptions'!$D49)</f>
        <v>2060</v>
      </c>
      <c r="Y61" s="65">
        <f>$M61*(1+'FSS Phase 1 Assumptions'!$D49)</f>
        <v>2060</v>
      </c>
      <c r="Z61" s="65">
        <f>$M61*(1+'FSS Phase 1 Assumptions'!$D49)</f>
        <v>2060</v>
      </c>
      <c r="AA61" s="59">
        <f t="shared" si="33"/>
        <v>24720</v>
      </c>
      <c r="AB61" s="172">
        <f>AA61*(1+'FSS Phase 1 Assumptions'!E49)</f>
        <v>25461.600000000002</v>
      </c>
      <c r="AC61" s="172">
        <f>AB61*(1+'FSS Phase 1 Assumptions'!F49)</f>
        <v>26225.448000000004</v>
      </c>
      <c r="AD61" s="172">
        <f>AC61*(1+'FSS Phase 1 Assumptions'!G49)</f>
        <v>27012.211440000006</v>
      </c>
    </row>
    <row r="62" spans="1:30" x14ac:dyDescent="0.2">
      <c r="A62" s="76" t="s">
        <v>520</v>
      </c>
      <c r="B62" s="65">
        <f>'FSS Phase 1 Assumptions'!$B$50</f>
        <v>30000</v>
      </c>
      <c r="C62" s="65">
        <f>'FSS Phase 1 Assumptions'!$B$50</f>
        <v>30000</v>
      </c>
      <c r="D62" s="65">
        <f>'FSS Phase 1 Assumptions'!$B$50</f>
        <v>30000</v>
      </c>
      <c r="E62" s="65">
        <f>'FSS Phase 1 Assumptions'!$B$50</f>
        <v>30000</v>
      </c>
      <c r="F62" s="65">
        <f>'FSS Phase 1 Assumptions'!$B$50</f>
        <v>30000</v>
      </c>
      <c r="G62" s="65">
        <f>'FSS Phase 1 Assumptions'!$B$50</f>
        <v>30000</v>
      </c>
      <c r="H62" s="65">
        <f>'FSS Phase 1 Assumptions'!$B$50</f>
        <v>30000</v>
      </c>
      <c r="I62" s="65">
        <f>'FSS Phase 1 Assumptions'!$B$50</f>
        <v>30000</v>
      </c>
      <c r="J62" s="65">
        <v>0</v>
      </c>
      <c r="K62" s="65">
        <v>0</v>
      </c>
      <c r="L62" s="65">
        <v>0</v>
      </c>
      <c r="M62" s="65">
        <v>0</v>
      </c>
      <c r="N62" s="158">
        <f t="shared" si="32"/>
        <v>240000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  <c r="Z62" s="65">
        <v>0</v>
      </c>
      <c r="AA62" s="59">
        <f t="shared" si="33"/>
        <v>0</v>
      </c>
      <c r="AB62" s="172">
        <f>AA62*(1+'FSS Phase 1 Assumptions'!E50)</f>
        <v>0</v>
      </c>
      <c r="AC62" s="172">
        <f>AB62*(1+'FSS Phase 1 Assumptions'!F50)</f>
        <v>0</v>
      </c>
      <c r="AD62" s="172">
        <f>AC62*(1+'FSS Phase 1 Assumptions'!G50)</f>
        <v>0</v>
      </c>
    </row>
    <row r="63" spans="1:30" x14ac:dyDescent="0.2">
      <c r="A63" s="76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160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132"/>
      <c r="AB63" s="174"/>
      <c r="AC63" s="174"/>
      <c r="AD63" s="174"/>
    </row>
    <row r="64" spans="1:30" s="80" customFormat="1" collapsed="1" x14ac:dyDescent="0.2">
      <c r="A64" s="90" t="s">
        <v>196</v>
      </c>
      <c r="B64" s="81">
        <f t="shared" ref="B64:AD64" si="34">SUM(B56:B63)</f>
        <v>106500</v>
      </c>
      <c r="C64" s="81">
        <f t="shared" si="34"/>
        <v>106500</v>
      </c>
      <c r="D64" s="81">
        <f t="shared" si="34"/>
        <v>106500</v>
      </c>
      <c r="E64" s="81">
        <f t="shared" si="34"/>
        <v>106500</v>
      </c>
      <c r="F64" s="81">
        <f t="shared" si="34"/>
        <v>106500</v>
      </c>
      <c r="G64" s="81">
        <f t="shared" si="34"/>
        <v>106500</v>
      </c>
      <c r="H64" s="81">
        <f t="shared" si="34"/>
        <v>106500</v>
      </c>
      <c r="I64" s="81">
        <f t="shared" si="34"/>
        <v>106500</v>
      </c>
      <c r="J64" s="81">
        <f t="shared" si="34"/>
        <v>76500</v>
      </c>
      <c r="K64" s="81">
        <f t="shared" si="34"/>
        <v>76500</v>
      </c>
      <c r="L64" s="81">
        <f t="shared" si="34"/>
        <v>76500</v>
      </c>
      <c r="M64" s="81">
        <f t="shared" si="34"/>
        <v>76500</v>
      </c>
      <c r="N64" s="81">
        <f t="shared" si="34"/>
        <v>1158000</v>
      </c>
      <c r="O64" s="81">
        <f t="shared" si="34"/>
        <v>78795</v>
      </c>
      <c r="P64" s="81">
        <f t="shared" si="34"/>
        <v>78795</v>
      </c>
      <c r="Q64" s="81">
        <f t="shared" si="34"/>
        <v>78795</v>
      </c>
      <c r="R64" s="81">
        <f t="shared" si="34"/>
        <v>78795</v>
      </c>
      <c r="S64" s="81">
        <f t="shared" si="34"/>
        <v>78795</v>
      </c>
      <c r="T64" s="81">
        <f t="shared" si="34"/>
        <v>78795</v>
      </c>
      <c r="U64" s="81">
        <f t="shared" si="34"/>
        <v>78795</v>
      </c>
      <c r="V64" s="81">
        <f t="shared" si="34"/>
        <v>78795</v>
      </c>
      <c r="W64" s="81">
        <f t="shared" si="34"/>
        <v>78795</v>
      </c>
      <c r="X64" s="81">
        <f t="shared" si="34"/>
        <v>78795</v>
      </c>
      <c r="Y64" s="81">
        <f t="shared" si="34"/>
        <v>78795</v>
      </c>
      <c r="Z64" s="81">
        <f t="shared" si="34"/>
        <v>78795</v>
      </c>
      <c r="AA64" s="81">
        <f t="shared" si="34"/>
        <v>945540</v>
      </c>
      <c r="AB64" s="81">
        <f t="shared" si="34"/>
        <v>973906.2</v>
      </c>
      <c r="AC64" s="81">
        <f t="shared" si="34"/>
        <v>1003123.3860000001</v>
      </c>
      <c r="AD64" s="81">
        <f t="shared" si="34"/>
        <v>1033217.0875800001</v>
      </c>
    </row>
    <row r="65" spans="1:31" x14ac:dyDescent="0.2">
      <c r="A65" s="76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9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168"/>
      <c r="AC65" s="168"/>
      <c r="AD65" s="168"/>
    </row>
    <row r="66" spans="1:31" x14ac:dyDescent="0.2">
      <c r="A66" s="74" t="s">
        <v>97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9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168"/>
      <c r="AC66" s="168"/>
      <c r="AD66" s="168"/>
    </row>
    <row r="67" spans="1:31" x14ac:dyDescent="0.2">
      <c r="A67" s="76" t="s">
        <v>541</v>
      </c>
      <c r="B67" s="65">
        <f>'FSS Phase 1 Assumptions'!$B53</f>
        <v>57334.987500000003</v>
      </c>
      <c r="C67" s="65">
        <f>'FSS Phase 1 Assumptions'!$B53</f>
        <v>57334.987500000003</v>
      </c>
      <c r="D67" s="65">
        <f>'FSS Phase 1 Assumptions'!$B53</f>
        <v>57334.987500000003</v>
      </c>
      <c r="E67" s="65">
        <f>'FSS Phase 1 Assumptions'!$B53</f>
        <v>57334.987500000003</v>
      </c>
      <c r="F67" s="65">
        <f>'FSS Phase 1 Assumptions'!$B53</f>
        <v>57334.987500000003</v>
      </c>
      <c r="G67" s="65">
        <f>'FSS Phase 1 Assumptions'!$B53</f>
        <v>57334.987500000003</v>
      </c>
      <c r="H67" s="65">
        <f>'FSS Phase 1 Assumptions'!$B53</f>
        <v>57334.987500000003</v>
      </c>
      <c r="I67" s="65">
        <f>'FSS Phase 1 Assumptions'!$B53</f>
        <v>57334.987500000003</v>
      </c>
      <c r="J67" s="65">
        <f>'FSS Phase 1 Assumptions'!$B53</f>
        <v>57334.987500000003</v>
      </c>
      <c r="K67" s="65">
        <f>'FSS Phase 1 Assumptions'!$B53</f>
        <v>57334.987500000003</v>
      </c>
      <c r="L67" s="65">
        <f>'FSS Phase 1 Assumptions'!$B53</f>
        <v>57334.987500000003</v>
      </c>
      <c r="M67" s="65">
        <f>'FSS Phase 1 Assumptions'!$B53</f>
        <v>57334.987500000003</v>
      </c>
      <c r="N67" s="156">
        <f t="shared" ref="N67:N72" si="35">SUM(B67:M67)</f>
        <v>688019.85000000009</v>
      </c>
      <c r="O67" s="65">
        <f>$M67*(1+'FSS Phase 1 Assumptions'!$D53)</f>
        <v>59055.037125000003</v>
      </c>
      <c r="P67" s="65">
        <f>$M67*(1+'FSS Phase 1 Assumptions'!$D53)</f>
        <v>59055.037125000003</v>
      </c>
      <c r="Q67" s="65">
        <f>$M67*(1+'FSS Phase 1 Assumptions'!$D53)</f>
        <v>59055.037125000003</v>
      </c>
      <c r="R67" s="65">
        <f>$M67*(1+'FSS Phase 1 Assumptions'!$D53)</f>
        <v>59055.037125000003</v>
      </c>
      <c r="S67" s="65">
        <f>$M67*(1+'FSS Phase 1 Assumptions'!$D53)</f>
        <v>59055.037125000003</v>
      </c>
      <c r="T67" s="65">
        <f>$M67*(1+'FSS Phase 1 Assumptions'!$D53)</f>
        <v>59055.037125000003</v>
      </c>
      <c r="U67" s="65">
        <f>$M67*(1+'FSS Phase 1 Assumptions'!$D53)</f>
        <v>59055.037125000003</v>
      </c>
      <c r="V67" s="65">
        <f>$M67*(1+'FSS Phase 1 Assumptions'!$D53)</f>
        <v>59055.037125000003</v>
      </c>
      <c r="W67" s="65">
        <f>$M67*(1+'FSS Phase 1 Assumptions'!$D53)</f>
        <v>59055.037125000003</v>
      </c>
      <c r="X67" s="65">
        <f>$M67*(1+'FSS Phase 1 Assumptions'!$D53)</f>
        <v>59055.037125000003</v>
      </c>
      <c r="Y67" s="65">
        <f>$M67*(1+'FSS Phase 1 Assumptions'!$D53)</f>
        <v>59055.037125000003</v>
      </c>
      <c r="Z67" s="65">
        <f>$M67*(1+'FSS Phase 1 Assumptions'!$D53)</f>
        <v>59055.037125000003</v>
      </c>
      <c r="AA67" s="59">
        <f t="shared" ref="AA67:AA72" si="36">SUM(O67:Z67)</f>
        <v>708660.44550000026</v>
      </c>
      <c r="AB67" s="172">
        <f>AA67*(1+'FSS Phase 1 Assumptions'!E53)</f>
        <v>729920.25886500033</v>
      </c>
      <c r="AC67" s="172">
        <f>AB67*(1+'FSS Phase 1 Assumptions'!F53)</f>
        <v>751817.86663095036</v>
      </c>
      <c r="AD67" s="172">
        <f>AC67*(1+'FSS Phase 1 Assumptions'!G53)</f>
        <v>774372.40262987884</v>
      </c>
    </row>
    <row r="68" spans="1:31" x14ac:dyDescent="0.2">
      <c r="A68" s="76" t="s">
        <v>537</v>
      </c>
      <c r="B68" s="65">
        <f>'FSS Phase 1 Assumptions'!$B54</f>
        <v>5167.7500000000009</v>
      </c>
      <c r="C68" s="65">
        <f>'FSS Phase 1 Assumptions'!$B54</f>
        <v>5167.7500000000009</v>
      </c>
      <c r="D68" s="65">
        <f>'FSS Phase 1 Assumptions'!$B54</f>
        <v>5167.7500000000009</v>
      </c>
      <c r="E68" s="65">
        <f>'FSS Phase 1 Assumptions'!$B54</f>
        <v>5167.7500000000009</v>
      </c>
      <c r="F68" s="65">
        <f>'FSS Phase 1 Assumptions'!$B54</f>
        <v>5167.7500000000009</v>
      </c>
      <c r="G68" s="65">
        <f>'FSS Phase 1 Assumptions'!$B54</f>
        <v>5167.7500000000009</v>
      </c>
      <c r="H68" s="65">
        <f>'FSS Phase 1 Assumptions'!$B54</f>
        <v>5167.7500000000009</v>
      </c>
      <c r="I68" s="65">
        <f>'FSS Phase 1 Assumptions'!$B54</f>
        <v>5167.7500000000009</v>
      </c>
      <c r="J68" s="65">
        <f>'FSS Phase 1 Assumptions'!$B54</f>
        <v>5167.7500000000009</v>
      </c>
      <c r="K68" s="65">
        <f>'FSS Phase 1 Assumptions'!$B54</f>
        <v>5167.7500000000009</v>
      </c>
      <c r="L68" s="65">
        <f>'FSS Phase 1 Assumptions'!$B54</f>
        <v>5167.7500000000009</v>
      </c>
      <c r="M68" s="65">
        <f>'FSS Phase 1 Assumptions'!$B54</f>
        <v>5167.7500000000009</v>
      </c>
      <c r="N68" s="156">
        <f t="shared" si="35"/>
        <v>62013.000000000007</v>
      </c>
      <c r="O68" s="65">
        <f>$M68*(1+'FSS Phase 1 Assumptions'!$D54)</f>
        <v>5426.1375000000016</v>
      </c>
      <c r="P68" s="65">
        <f>$M68*(1+'FSS Phase 1 Assumptions'!$D54)</f>
        <v>5426.1375000000016</v>
      </c>
      <c r="Q68" s="65">
        <f>$M68*(1+'FSS Phase 1 Assumptions'!$D54)</f>
        <v>5426.1375000000016</v>
      </c>
      <c r="R68" s="65">
        <f>$M68*(1+'FSS Phase 1 Assumptions'!$D54)</f>
        <v>5426.1375000000016</v>
      </c>
      <c r="S68" s="65">
        <f>$M68*(1+'FSS Phase 1 Assumptions'!$D54)</f>
        <v>5426.1375000000016</v>
      </c>
      <c r="T68" s="65">
        <f>$M68*(1+'FSS Phase 1 Assumptions'!$D54)</f>
        <v>5426.1375000000016</v>
      </c>
      <c r="U68" s="65">
        <f>$M68*(1+'FSS Phase 1 Assumptions'!$D54)</f>
        <v>5426.1375000000016</v>
      </c>
      <c r="V68" s="65">
        <f>$M68*(1+'FSS Phase 1 Assumptions'!$D54)</f>
        <v>5426.1375000000016</v>
      </c>
      <c r="W68" s="65">
        <f>$M68*(1+'FSS Phase 1 Assumptions'!$D54)</f>
        <v>5426.1375000000016</v>
      </c>
      <c r="X68" s="65">
        <f>$M68*(1+'FSS Phase 1 Assumptions'!$D54)</f>
        <v>5426.1375000000016</v>
      </c>
      <c r="Y68" s="65">
        <f>$M68*(1+'FSS Phase 1 Assumptions'!$D54)</f>
        <v>5426.1375000000016</v>
      </c>
      <c r="Z68" s="65">
        <f>$M68*(1+'FSS Phase 1 Assumptions'!$D54)</f>
        <v>5426.1375000000016</v>
      </c>
      <c r="AA68" s="59">
        <f t="shared" si="36"/>
        <v>65113.650000000031</v>
      </c>
      <c r="AB68" s="172">
        <f>AA68*(1+'FSS Phase 1 Assumptions'!E54)</f>
        <v>68369.332500000033</v>
      </c>
      <c r="AC68" s="172">
        <f>AB68*(1+'FSS Phase 1 Assumptions'!F54)</f>
        <v>71787.799125000034</v>
      </c>
      <c r="AD68" s="172">
        <f>AC68*(1+'FSS Phase 1 Assumptions'!G54)</f>
        <v>75377.189081250035</v>
      </c>
    </row>
    <row r="69" spans="1:31" x14ac:dyDescent="0.2">
      <c r="A69" s="76" t="s">
        <v>229</v>
      </c>
      <c r="B69" s="65">
        <f>'FSS Phase 1 Assumptions'!$B55</f>
        <v>2625</v>
      </c>
      <c r="C69" s="65">
        <f>'FSS Phase 1 Assumptions'!$B55</f>
        <v>2625</v>
      </c>
      <c r="D69" s="65">
        <f>'FSS Phase 1 Assumptions'!$B55</f>
        <v>2625</v>
      </c>
      <c r="E69" s="65">
        <f>'FSS Phase 1 Assumptions'!$B55</f>
        <v>2625</v>
      </c>
      <c r="F69" s="65">
        <f>'FSS Phase 1 Assumptions'!$B55</f>
        <v>2625</v>
      </c>
      <c r="G69" s="65">
        <f>'FSS Phase 1 Assumptions'!$B55</f>
        <v>2625</v>
      </c>
      <c r="H69" s="65">
        <f>'FSS Phase 1 Assumptions'!$B55</f>
        <v>2625</v>
      </c>
      <c r="I69" s="65">
        <f>'FSS Phase 1 Assumptions'!$B55</f>
        <v>2625</v>
      </c>
      <c r="J69" s="65">
        <f>'FSS Phase 1 Assumptions'!$B55</f>
        <v>2625</v>
      </c>
      <c r="K69" s="65">
        <f>'FSS Phase 1 Assumptions'!$B55</f>
        <v>2625</v>
      </c>
      <c r="L69" s="65">
        <f>'FSS Phase 1 Assumptions'!$B55</f>
        <v>2625</v>
      </c>
      <c r="M69" s="65">
        <f>'FSS Phase 1 Assumptions'!$B55</f>
        <v>2625</v>
      </c>
      <c r="N69" s="156">
        <f t="shared" si="35"/>
        <v>31500</v>
      </c>
      <c r="O69" s="65">
        <f>$M69*(1+'FSS Phase 1 Assumptions'!$D55)</f>
        <v>2756.25</v>
      </c>
      <c r="P69" s="65">
        <f>$M69*(1+'FSS Phase 1 Assumptions'!$D55)</f>
        <v>2756.25</v>
      </c>
      <c r="Q69" s="65">
        <f>$M69*(1+'FSS Phase 1 Assumptions'!$D55)</f>
        <v>2756.25</v>
      </c>
      <c r="R69" s="65">
        <f>$M69*(1+'FSS Phase 1 Assumptions'!$D55)</f>
        <v>2756.25</v>
      </c>
      <c r="S69" s="65">
        <f>$M69*(1+'FSS Phase 1 Assumptions'!$D55)</f>
        <v>2756.25</v>
      </c>
      <c r="T69" s="65">
        <f>$M69*(1+'FSS Phase 1 Assumptions'!$D55)</f>
        <v>2756.25</v>
      </c>
      <c r="U69" s="65">
        <f>$M69*(1+'FSS Phase 1 Assumptions'!$D55)</f>
        <v>2756.25</v>
      </c>
      <c r="V69" s="65">
        <f>$M69*(1+'FSS Phase 1 Assumptions'!$D55)</f>
        <v>2756.25</v>
      </c>
      <c r="W69" s="65">
        <f>$M69*(1+'FSS Phase 1 Assumptions'!$D55)</f>
        <v>2756.25</v>
      </c>
      <c r="X69" s="65">
        <f>$M69*(1+'FSS Phase 1 Assumptions'!$D55)</f>
        <v>2756.25</v>
      </c>
      <c r="Y69" s="65">
        <f>$M69*(1+'FSS Phase 1 Assumptions'!$D55)</f>
        <v>2756.25</v>
      </c>
      <c r="Z69" s="65">
        <f>$M69*(1+'FSS Phase 1 Assumptions'!$D55)</f>
        <v>2756.25</v>
      </c>
      <c r="AA69" s="59">
        <f t="shared" si="36"/>
        <v>33075</v>
      </c>
      <c r="AB69" s="172">
        <f>AA69*(1+'FSS Phase 1 Assumptions'!E55)</f>
        <v>34728.75</v>
      </c>
      <c r="AC69" s="172">
        <f>AB69*(1+'FSS Phase 1 Assumptions'!F55)</f>
        <v>36465.1875</v>
      </c>
      <c r="AD69" s="172">
        <f>AC69*(1+'FSS Phase 1 Assumptions'!G55)</f>
        <v>38288.446875000001</v>
      </c>
    </row>
    <row r="70" spans="1:31" x14ac:dyDescent="0.2">
      <c r="A70" s="76" t="s">
        <v>538</v>
      </c>
      <c r="B70" s="65">
        <f>'FSS Phase 1 Assumptions'!$B56</f>
        <v>1670</v>
      </c>
      <c r="C70" s="65">
        <f>'FSS Phase 1 Assumptions'!$B56</f>
        <v>1670</v>
      </c>
      <c r="D70" s="65">
        <f>'FSS Phase 1 Assumptions'!$B56</f>
        <v>1670</v>
      </c>
      <c r="E70" s="65">
        <f>'FSS Phase 1 Assumptions'!$B56</f>
        <v>1670</v>
      </c>
      <c r="F70" s="65">
        <f>'FSS Phase 1 Assumptions'!$B56</f>
        <v>1670</v>
      </c>
      <c r="G70" s="65">
        <f>'FSS Phase 1 Assumptions'!$B56</f>
        <v>1670</v>
      </c>
      <c r="H70" s="65">
        <f>'FSS Phase 1 Assumptions'!$B56</f>
        <v>1670</v>
      </c>
      <c r="I70" s="65">
        <f>'FSS Phase 1 Assumptions'!$B56</f>
        <v>1670</v>
      </c>
      <c r="J70" s="65">
        <f>'FSS Phase 1 Assumptions'!$B56</f>
        <v>1670</v>
      </c>
      <c r="K70" s="65">
        <f>'FSS Phase 1 Assumptions'!$B56</f>
        <v>1670</v>
      </c>
      <c r="L70" s="65">
        <f>'FSS Phase 1 Assumptions'!$B56</f>
        <v>1670</v>
      </c>
      <c r="M70" s="65">
        <f>'FSS Phase 1 Assumptions'!$B56</f>
        <v>1670</v>
      </c>
      <c r="N70" s="156">
        <f t="shared" si="35"/>
        <v>20040</v>
      </c>
      <c r="O70" s="65">
        <f>$M70*(1+'FSS Phase 1 Assumptions'!$D56)</f>
        <v>1753.5</v>
      </c>
      <c r="P70" s="65">
        <f>$M70*(1+'FSS Phase 1 Assumptions'!$D56)</f>
        <v>1753.5</v>
      </c>
      <c r="Q70" s="65">
        <f>$M70*(1+'FSS Phase 1 Assumptions'!$D56)</f>
        <v>1753.5</v>
      </c>
      <c r="R70" s="65">
        <f>$M70*(1+'FSS Phase 1 Assumptions'!$D56)</f>
        <v>1753.5</v>
      </c>
      <c r="S70" s="65">
        <f>$M70*(1+'FSS Phase 1 Assumptions'!$D56)</f>
        <v>1753.5</v>
      </c>
      <c r="T70" s="65">
        <f>$M70*(1+'FSS Phase 1 Assumptions'!$D56)</f>
        <v>1753.5</v>
      </c>
      <c r="U70" s="65">
        <f>$M70*(1+'FSS Phase 1 Assumptions'!$D56)</f>
        <v>1753.5</v>
      </c>
      <c r="V70" s="65">
        <f>$M70*(1+'FSS Phase 1 Assumptions'!$D56)</f>
        <v>1753.5</v>
      </c>
      <c r="W70" s="65">
        <f>$M70*(1+'FSS Phase 1 Assumptions'!$D56)</f>
        <v>1753.5</v>
      </c>
      <c r="X70" s="65">
        <f>$M70*(1+'FSS Phase 1 Assumptions'!$D56)</f>
        <v>1753.5</v>
      </c>
      <c r="Y70" s="65">
        <f>$M70*(1+'FSS Phase 1 Assumptions'!$D56)</f>
        <v>1753.5</v>
      </c>
      <c r="Z70" s="65">
        <f>$M70*(1+'FSS Phase 1 Assumptions'!$D56)</f>
        <v>1753.5</v>
      </c>
      <c r="AA70" s="59">
        <f t="shared" si="36"/>
        <v>21042</v>
      </c>
      <c r="AB70" s="172">
        <f>AA70*(1+'FSS Phase 1 Assumptions'!E56)</f>
        <v>22094.100000000002</v>
      </c>
      <c r="AC70" s="172">
        <f>AB70*(1+'FSS Phase 1 Assumptions'!F56)</f>
        <v>23198.805000000004</v>
      </c>
      <c r="AD70" s="172">
        <f>AC70*(1+'FSS Phase 1 Assumptions'!G56)</f>
        <v>24358.745250000004</v>
      </c>
    </row>
    <row r="71" spans="1:31" x14ac:dyDescent="0.2">
      <c r="A71" s="76" t="s">
        <v>536</v>
      </c>
      <c r="B71" s="65">
        <f>'FSS Phase 1 Assumptions'!$B57</f>
        <v>4025</v>
      </c>
      <c r="C71" s="65">
        <f>'FSS Phase 1 Assumptions'!$B57</f>
        <v>4025</v>
      </c>
      <c r="D71" s="65">
        <f>'FSS Phase 1 Assumptions'!$B57</f>
        <v>4025</v>
      </c>
      <c r="E71" s="65">
        <f>'FSS Phase 1 Assumptions'!$B57</f>
        <v>4025</v>
      </c>
      <c r="F71" s="65">
        <f>'FSS Phase 1 Assumptions'!$B57</f>
        <v>4025</v>
      </c>
      <c r="G71" s="65">
        <f>'FSS Phase 1 Assumptions'!$B57</f>
        <v>4025</v>
      </c>
      <c r="H71" s="65">
        <f>'FSS Phase 1 Assumptions'!$B57</f>
        <v>4025</v>
      </c>
      <c r="I71" s="65">
        <f>'FSS Phase 1 Assumptions'!$B57</f>
        <v>4025</v>
      </c>
      <c r="J71" s="65">
        <f>'FSS Phase 1 Assumptions'!$B57</f>
        <v>4025</v>
      </c>
      <c r="K71" s="65">
        <f>'FSS Phase 1 Assumptions'!$B57</f>
        <v>4025</v>
      </c>
      <c r="L71" s="65">
        <f>'FSS Phase 1 Assumptions'!$B57</f>
        <v>4025</v>
      </c>
      <c r="M71" s="65">
        <f>'FSS Phase 1 Assumptions'!$B57</f>
        <v>4025</v>
      </c>
      <c r="N71" s="156">
        <f t="shared" si="35"/>
        <v>48300</v>
      </c>
      <c r="O71" s="65">
        <f>$M71*(1+'FSS Phase 1 Assumptions'!$D57)</f>
        <v>4226.25</v>
      </c>
      <c r="P71" s="65">
        <f>$M71*(1+'FSS Phase 1 Assumptions'!$D57)</f>
        <v>4226.25</v>
      </c>
      <c r="Q71" s="65">
        <f>$M71*(1+'FSS Phase 1 Assumptions'!$D57)</f>
        <v>4226.25</v>
      </c>
      <c r="R71" s="65">
        <f>$M71*(1+'FSS Phase 1 Assumptions'!$D57)</f>
        <v>4226.25</v>
      </c>
      <c r="S71" s="65">
        <f>$M71*(1+'FSS Phase 1 Assumptions'!$D57)</f>
        <v>4226.25</v>
      </c>
      <c r="T71" s="65">
        <f>$M71*(1+'FSS Phase 1 Assumptions'!$D57)</f>
        <v>4226.25</v>
      </c>
      <c r="U71" s="65">
        <f>$M71*(1+'FSS Phase 1 Assumptions'!$D57)</f>
        <v>4226.25</v>
      </c>
      <c r="V71" s="65">
        <f>$M71*(1+'FSS Phase 1 Assumptions'!$D57)</f>
        <v>4226.25</v>
      </c>
      <c r="W71" s="65">
        <f>$M71*(1+'FSS Phase 1 Assumptions'!$D57)</f>
        <v>4226.25</v>
      </c>
      <c r="X71" s="65">
        <f>$M71*(1+'FSS Phase 1 Assumptions'!$D57)</f>
        <v>4226.25</v>
      </c>
      <c r="Y71" s="65">
        <f>$M71*(1+'FSS Phase 1 Assumptions'!$D57)</f>
        <v>4226.25</v>
      </c>
      <c r="Z71" s="65">
        <f>$M71*(1+'FSS Phase 1 Assumptions'!$D57)</f>
        <v>4226.25</v>
      </c>
      <c r="AA71" s="59">
        <f t="shared" si="36"/>
        <v>50715</v>
      </c>
      <c r="AB71" s="172">
        <f>AA71*(1+'FSS Phase 1 Assumptions'!E57)</f>
        <v>53250.75</v>
      </c>
      <c r="AC71" s="172">
        <f>AB71*(1+'FSS Phase 1 Assumptions'!F57)</f>
        <v>55913.287500000006</v>
      </c>
      <c r="AD71" s="172">
        <f>AC71*(1+'FSS Phase 1 Assumptions'!G57)</f>
        <v>58708.951875000006</v>
      </c>
    </row>
    <row r="72" spans="1:31" x14ac:dyDescent="0.2">
      <c r="A72" s="76" t="s">
        <v>535</v>
      </c>
      <c r="B72" s="65">
        <f>'FSS Phase 1 Assumptions'!$B58</f>
        <v>144900</v>
      </c>
      <c r="C72" s="65">
        <f>'FSS Phase 1 Assumptions'!$B58</f>
        <v>144900</v>
      </c>
      <c r="D72" s="65">
        <f>'FSS Phase 1 Assumptions'!$B58</f>
        <v>144900</v>
      </c>
      <c r="E72" s="65">
        <f>'FSS Phase 1 Assumptions'!$B58</f>
        <v>144900</v>
      </c>
      <c r="F72" s="65">
        <f>'FSS Phase 1 Assumptions'!$B58</f>
        <v>144900</v>
      </c>
      <c r="G72" s="65">
        <f>'FSS Phase 1 Assumptions'!$B58</f>
        <v>144900</v>
      </c>
      <c r="H72" s="65">
        <f>'FSS Phase 1 Assumptions'!$B58</f>
        <v>144900</v>
      </c>
      <c r="I72" s="65">
        <f>'FSS Phase 1 Assumptions'!$B58</f>
        <v>144900</v>
      </c>
      <c r="J72" s="65">
        <f>'FSS Phase 1 Assumptions'!$B58</f>
        <v>144900</v>
      </c>
      <c r="K72" s="65">
        <f>'FSS Phase 1 Assumptions'!$B58</f>
        <v>144900</v>
      </c>
      <c r="L72" s="65">
        <f>'FSS Phase 1 Assumptions'!$B58</f>
        <v>144900</v>
      </c>
      <c r="M72" s="65">
        <f>'FSS Phase 1 Assumptions'!$B58</f>
        <v>144900</v>
      </c>
      <c r="N72" s="156">
        <f t="shared" si="35"/>
        <v>1738800</v>
      </c>
      <c r="O72" s="65">
        <f>$M72*(1+'FSS Phase 1 Assumptions'!$D58)</f>
        <v>152145</v>
      </c>
      <c r="P72" s="65">
        <f>$M72*(1+'FSS Phase 1 Assumptions'!$D58)</f>
        <v>152145</v>
      </c>
      <c r="Q72" s="65">
        <f>$M72*(1+'FSS Phase 1 Assumptions'!$D58)</f>
        <v>152145</v>
      </c>
      <c r="R72" s="65">
        <f>$M72*(1+'FSS Phase 1 Assumptions'!$D58)</f>
        <v>152145</v>
      </c>
      <c r="S72" s="65">
        <f>$M72*(1+'FSS Phase 1 Assumptions'!$D58)</f>
        <v>152145</v>
      </c>
      <c r="T72" s="65">
        <f>$M72*(1+'FSS Phase 1 Assumptions'!$D58)</f>
        <v>152145</v>
      </c>
      <c r="U72" s="65">
        <f>$M72*(1+'FSS Phase 1 Assumptions'!$D58)</f>
        <v>152145</v>
      </c>
      <c r="V72" s="65">
        <f>$M72*(1+'FSS Phase 1 Assumptions'!$D58)</f>
        <v>152145</v>
      </c>
      <c r="W72" s="65">
        <f>$M72*(1+'FSS Phase 1 Assumptions'!$D58)</f>
        <v>152145</v>
      </c>
      <c r="X72" s="65">
        <f>$M72*(1+'FSS Phase 1 Assumptions'!$D58)</f>
        <v>152145</v>
      </c>
      <c r="Y72" s="65">
        <f>$M72*(1+'FSS Phase 1 Assumptions'!$D58)</f>
        <v>152145</v>
      </c>
      <c r="Z72" s="65">
        <f>$M72*(1+'FSS Phase 1 Assumptions'!$D58)</f>
        <v>152145</v>
      </c>
      <c r="AA72" s="59">
        <f t="shared" si="36"/>
        <v>1825740</v>
      </c>
      <c r="AB72" s="172">
        <f>AA72*(1+'FSS Phase 1 Assumptions'!E58)</f>
        <v>1917027</v>
      </c>
      <c r="AC72" s="172">
        <f>AB72*(1+'FSS Phase 1 Assumptions'!F58)</f>
        <v>2012878.35</v>
      </c>
      <c r="AD72" s="172">
        <f>AC72*(1+'FSS Phase 1 Assumptions'!G58)</f>
        <v>2113522.2675000001</v>
      </c>
    </row>
    <row r="73" spans="1:31" x14ac:dyDescent="0.2">
      <c r="A73" s="76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160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132"/>
      <c r="AB73" s="174"/>
      <c r="AC73" s="174"/>
      <c r="AD73" s="174"/>
    </row>
    <row r="74" spans="1:31" s="80" customFormat="1" collapsed="1" x14ac:dyDescent="0.2">
      <c r="A74" s="90" t="s">
        <v>98</v>
      </c>
      <c r="B74" s="81">
        <f t="shared" ref="B74:AD74" si="37">SUM(B67:B73)</f>
        <v>215722.73749999999</v>
      </c>
      <c r="C74" s="81">
        <f t="shared" si="37"/>
        <v>215722.73749999999</v>
      </c>
      <c r="D74" s="81">
        <f t="shared" si="37"/>
        <v>215722.73749999999</v>
      </c>
      <c r="E74" s="81">
        <f t="shared" si="37"/>
        <v>215722.73749999999</v>
      </c>
      <c r="F74" s="81">
        <f t="shared" si="37"/>
        <v>215722.73749999999</v>
      </c>
      <c r="G74" s="81">
        <f t="shared" si="37"/>
        <v>215722.73749999999</v>
      </c>
      <c r="H74" s="81">
        <f t="shared" si="37"/>
        <v>215722.73749999999</v>
      </c>
      <c r="I74" s="81">
        <f t="shared" si="37"/>
        <v>215722.73749999999</v>
      </c>
      <c r="J74" s="81">
        <f t="shared" si="37"/>
        <v>215722.73749999999</v>
      </c>
      <c r="K74" s="81">
        <f t="shared" si="37"/>
        <v>215722.73749999999</v>
      </c>
      <c r="L74" s="81">
        <f t="shared" si="37"/>
        <v>215722.73749999999</v>
      </c>
      <c r="M74" s="81">
        <f t="shared" si="37"/>
        <v>215722.73749999999</v>
      </c>
      <c r="N74" s="81">
        <f t="shared" si="37"/>
        <v>2588672.85</v>
      </c>
      <c r="O74" s="81">
        <f t="shared" si="37"/>
        <v>225362.17462500001</v>
      </c>
      <c r="P74" s="81">
        <f t="shared" si="37"/>
        <v>225362.17462500001</v>
      </c>
      <c r="Q74" s="81">
        <f t="shared" si="37"/>
        <v>225362.17462500001</v>
      </c>
      <c r="R74" s="81">
        <f t="shared" si="37"/>
        <v>225362.17462500001</v>
      </c>
      <c r="S74" s="81">
        <f t="shared" si="37"/>
        <v>225362.17462500001</v>
      </c>
      <c r="T74" s="81">
        <f t="shared" si="37"/>
        <v>225362.17462500001</v>
      </c>
      <c r="U74" s="81">
        <f t="shared" si="37"/>
        <v>225362.17462500001</v>
      </c>
      <c r="V74" s="81">
        <f t="shared" si="37"/>
        <v>225362.17462500001</v>
      </c>
      <c r="W74" s="81">
        <f t="shared" si="37"/>
        <v>225362.17462500001</v>
      </c>
      <c r="X74" s="81">
        <f t="shared" si="37"/>
        <v>225362.17462500001</v>
      </c>
      <c r="Y74" s="81">
        <f t="shared" si="37"/>
        <v>225362.17462500001</v>
      </c>
      <c r="Z74" s="81">
        <f t="shared" si="37"/>
        <v>225362.17462500001</v>
      </c>
      <c r="AA74" s="81">
        <f t="shared" si="37"/>
        <v>2704346.0955000003</v>
      </c>
      <c r="AB74" s="81">
        <f t="shared" si="37"/>
        <v>2825390.1913650003</v>
      </c>
      <c r="AC74" s="81">
        <f t="shared" si="37"/>
        <v>2952061.2957559507</v>
      </c>
      <c r="AD74" s="81">
        <f t="shared" si="37"/>
        <v>3084628.003211129</v>
      </c>
    </row>
    <row r="75" spans="1:31" x14ac:dyDescent="0.2">
      <c r="A75" s="76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159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168"/>
      <c r="AC75" s="168"/>
      <c r="AD75" s="168"/>
    </row>
    <row r="76" spans="1:31" x14ac:dyDescent="0.2">
      <c r="A76" s="74" t="s">
        <v>99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159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168"/>
      <c r="AC76" s="168"/>
      <c r="AD76" s="168"/>
    </row>
    <row r="77" spans="1:31" x14ac:dyDescent="0.2">
      <c r="A77" s="76" t="s">
        <v>105</v>
      </c>
      <c r="B77" s="65">
        <f>'FSS Phase 1 Assumptions'!$B$62*'FSS Phase 1 Assumptions'!$B$63/12</f>
        <v>53487.5</v>
      </c>
      <c r="C77" s="65">
        <f>'FSS Phase 1 Assumptions'!$B$62*'FSS Phase 1 Assumptions'!$B$63/12</f>
        <v>53487.5</v>
      </c>
      <c r="D77" s="65">
        <f>'FSS Phase 1 Assumptions'!$B$62*'FSS Phase 1 Assumptions'!$B$63/12</f>
        <v>53487.5</v>
      </c>
      <c r="E77" s="65">
        <f>'FSS Phase 1 Assumptions'!$B$62*'FSS Phase 1 Assumptions'!$B$63/12</f>
        <v>53487.5</v>
      </c>
      <c r="F77" s="65">
        <f>'FSS Phase 1 Assumptions'!$B$62*'FSS Phase 1 Assumptions'!$B$63/12</f>
        <v>53487.5</v>
      </c>
      <c r="G77" s="65">
        <f>'FSS Phase 1 Assumptions'!$B$62*'FSS Phase 1 Assumptions'!$B$63/12</f>
        <v>53487.5</v>
      </c>
      <c r="H77" s="65">
        <f>'FSS Phase 1 Assumptions'!$B$62*'FSS Phase 1 Assumptions'!$B$63/12</f>
        <v>53487.5</v>
      </c>
      <c r="I77" s="65">
        <f>'FSS Phase 1 Assumptions'!$B$62*'FSS Phase 1 Assumptions'!$B$63/12</f>
        <v>53487.5</v>
      </c>
      <c r="J77" s="65">
        <f>'FSS Phase 1 Assumptions'!$B$62*'FSS Phase 1 Assumptions'!$B$63/12</f>
        <v>53487.5</v>
      </c>
      <c r="K77" s="65">
        <f>'FSS Phase 1 Assumptions'!$B$62*'FSS Phase 1 Assumptions'!$B$63/12</f>
        <v>53487.5</v>
      </c>
      <c r="L77" s="65">
        <f>'FSS Phase 1 Assumptions'!$B$62*'FSS Phase 1 Assumptions'!$B$63/12</f>
        <v>53487.5</v>
      </c>
      <c r="M77" s="65">
        <f>'FSS Phase 1 Assumptions'!$B$62*'FSS Phase 1 Assumptions'!$B$63/12</f>
        <v>53487.5</v>
      </c>
      <c r="N77" s="156">
        <f>SUM(B77:M77)</f>
        <v>641850</v>
      </c>
      <c r="O77" s="65">
        <f>$M77*(1+'FSS Phase 1 Assumptions'!$D62)</f>
        <v>55092.125</v>
      </c>
      <c r="P77" s="65">
        <f>$M77*(1+'FSS Phase 1 Assumptions'!$D62)</f>
        <v>55092.125</v>
      </c>
      <c r="Q77" s="65">
        <f>$M77*(1+'FSS Phase 1 Assumptions'!$D62)</f>
        <v>55092.125</v>
      </c>
      <c r="R77" s="65">
        <f>$M77*(1+'FSS Phase 1 Assumptions'!$D62)</f>
        <v>55092.125</v>
      </c>
      <c r="S77" s="65">
        <f>$M77*(1+'FSS Phase 1 Assumptions'!$D62)</f>
        <v>55092.125</v>
      </c>
      <c r="T77" s="65">
        <f>$M77*(1+'FSS Phase 1 Assumptions'!$D62)</f>
        <v>55092.125</v>
      </c>
      <c r="U77" s="65">
        <f>$M77*(1+'FSS Phase 1 Assumptions'!$D62)</f>
        <v>55092.125</v>
      </c>
      <c r="V77" s="65">
        <f>$M77*(1+'FSS Phase 1 Assumptions'!$D62)</f>
        <v>55092.125</v>
      </c>
      <c r="W77" s="65">
        <f>$M77*(1+'FSS Phase 1 Assumptions'!$D62)</f>
        <v>55092.125</v>
      </c>
      <c r="X77" s="65">
        <f>$M77*(1+'FSS Phase 1 Assumptions'!$D62)</f>
        <v>55092.125</v>
      </c>
      <c r="Y77" s="65">
        <f>$M77*(1+'FSS Phase 1 Assumptions'!$D62)</f>
        <v>55092.125</v>
      </c>
      <c r="Z77" s="65">
        <f>$M77*(1+'FSS Phase 1 Assumptions'!$D62)</f>
        <v>55092.125</v>
      </c>
      <c r="AA77" s="59">
        <f t="shared" ref="AA77" si="38">SUM(O77:Z77)</f>
        <v>661105.5</v>
      </c>
      <c r="AB77" s="172">
        <f>AA77*(1+'FSS Phase 1 Assumptions'!E62)</f>
        <v>680938.66500000004</v>
      </c>
      <c r="AC77" s="172">
        <f>AB77*(1+'FSS Phase 1 Assumptions'!F62)</f>
        <v>701366.82495000004</v>
      </c>
      <c r="AD77" s="172">
        <f>AC77*(1+'FSS Phase 1 Assumptions'!G62)</f>
        <v>722407.82969850011</v>
      </c>
      <c r="AE77" s="64"/>
    </row>
    <row r="78" spans="1:31" x14ac:dyDescent="0.2">
      <c r="A78" s="7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160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132"/>
      <c r="AB78" s="174"/>
      <c r="AC78" s="174"/>
      <c r="AD78" s="174"/>
      <c r="AE78" s="64"/>
    </row>
    <row r="79" spans="1:31" s="80" customFormat="1" collapsed="1" x14ac:dyDescent="0.2">
      <c r="A79" s="79" t="s">
        <v>100</v>
      </c>
      <c r="B79" s="81">
        <f t="shared" ref="B79:N79" si="39">SUM(B77:B78)</f>
        <v>53487.5</v>
      </c>
      <c r="C79" s="81">
        <f t="shared" si="39"/>
        <v>53487.5</v>
      </c>
      <c r="D79" s="81">
        <f t="shared" si="39"/>
        <v>53487.5</v>
      </c>
      <c r="E79" s="81">
        <f t="shared" si="39"/>
        <v>53487.5</v>
      </c>
      <c r="F79" s="81">
        <f t="shared" si="39"/>
        <v>53487.5</v>
      </c>
      <c r="G79" s="81">
        <f t="shared" si="39"/>
        <v>53487.5</v>
      </c>
      <c r="H79" s="81">
        <f t="shared" si="39"/>
        <v>53487.5</v>
      </c>
      <c r="I79" s="81">
        <f t="shared" si="39"/>
        <v>53487.5</v>
      </c>
      <c r="J79" s="81">
        <f t="shared" si="39"/>
        <v>53487.5</v>
      </c>
      <c r="K79" s="81">
        <f t="shared" si="39"/>
        <v>53487.5</v>
      </c>
      <c r="L79" s="81">
        <f t="shared" si="39"/>
        <v>53487.5</v>
      </c>
      <c r="M79" s="81">
        <f t="shared" si="39"/>
        <v>53487.5</v>
      </c>
      <c r="N79" s="81">
        <f t="shared" si="39"/>
        <v>641850</v>
      </c>
      <c r="O79" s="81">
        <f t="shared" ref="O79:AD79" si="40">SUM(O77:O78)</f>
        <v>55092.125</v>
      </c>
      <c r="P79" s="81">
        <f t="shared" si="40"/>
        <v>55092.125</v>
      </c>
      <c r="Q79" s="81">
        <f t="shared" si="40"/>
        <v>55092.125</v>
      </c>
      <c r="R79" s="81">
        <f t="shared" si="40"/>
        <v>55092.125</v>
      </c>
      <c r="S79" s="81">
        <f t="shared" si="40"/>
        <v>55092.125</v>
      </c>
      <c r="T79" s="81">
        <f t="shared" si="40"/>
        <v>55092.125</v>
      </c>
      <c r="U79" s="81">
        <f t="shared" si="40"/>
        <v>55092.125</v>
      </c>
      <c r="V79" s="81">
        <f t="shared" si="40"/>
        <v>55092.125</v>
      </c>
      <c r="W79" s="81">
        <f t="shared" si="40"/>
        <v>55092.125</v>
      </c>
      <c r="X79" s="81">
        <f t="shared" si="40"/>
        <v>55092.125</v>
      </c>
      <c r="Y79" s="81">
        <f t="shared" si="40"/>
        <v>55092.125</v>
      </c>
      <c r="Z79" s="81">
        <f t="shared" si="40"/>
        <v>55092.125</v>
      </c>
      <c r="AA79" s="81">
        <f t="shared" si="40"/>
        <v>661105.5</v>
      </c>
      <c r="AB79" s="81">
        <f t="shared" si="40"/>
        <v>680938.66500000004</v>
      </c>
      <c r="AC79" s="81">
        <f t="shared" si="40"/>
        <v>701366.82495000004</v>
      </c>
      <c r="AD79" s="81">
        <f t="shared" si="40"/>
        <v>722407.82969850011</v>
      </c>
    </row>
    <row r="80" spans="1:31" s="80" customFormat="1" x14ac:dyDescent="0.2">
      <c r="A80" s="79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</row>
    <row r="81" spans="1:30" x14ac:dyDescent="0.2">
      <c r="A81" s="74" t="s">
        <v>104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159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168"/>
      <c r="AC81" s="168"/>
      <c r="AD81" s="168"/>
    </row>
    <row r="82" spans="1:30" x14ac:dyDescent="0.2">
      <c r="A82" s="76" t="s">
        <v>207</v>
      </c>
      <c r="B82" s="65">
        <f>'FSS Phase 1 Assumptions'!$B66</f>
        <v>90000</v>
      </c>
      <c r="C82" s="65">
        <f>'FSS Phase 1 Assumptions'!$B66</f>
        <v>90000</v>
      </c>
      <c r="D82" s="65">
        <f>'FSS Phase 1 Assumptions'!$B66</f>
        <v>90000</v>
      </c>
      <c r="E82" s="65">
        <f>'FSS Phase 1 Assumptions'!$B66</f>
        <v>90000</v>
      </c>
      <c r="F82" s="65">
        <f>'FSS Phase 1 Assumptions'!$B66</f>
        <v>90000</v>
      </c>
      <c r="G82" s="65">
        <f>'FSS Phase 1 Assumptions'!$B66</f>
        <v>90000</v>
      </c>
      <c r="H82" s="65">
        <f>'FSS Phase 1 Assumptions'!$B66</f>
        <v>90000</v>
      </c>
      <c r="I82" s="65">
        <f>'FSS Phase 1 Assumptions'!$B66</f>
        <v>90000</v>
      </c>
      <c r="J82" s="65">
        <f>'FSS Phase 1 Assumptions'!$B66</f>
        <v>90000</v>
      </c>
      <c r="K82" s="65">
        <f>'FSS Phase 1 Assumptions'!$B66</f>
        <v>90000</v>
      </c>
      <c r="L82" s="65">
        <f>'FSS Phase 1 Assumptions'!$B66</f>
        <v>90000</v>
      </c>
      <c r="M82" s="65">
        <f>'FSS Phase 1 Assumptions'!$B66</f>
        <v>90000</v>
      </c>
      <c r="N82" s="156">
        <f t="shared" ref="N82:N86" si="41">SUM(B82:M82)</f>
        <v>1080000</v>
      </c>
      <c r="O82" s="65">
        <f>$M82*(1+'FSS Phase 1 Assumptions'!$D66)</f>
        <v>92700</v>
      </c>
      <c r="P82" s="65">
        <f>$M82*(1+'FSS Phase 1 Assumptions'!$D66)</f>
        <v>92700</v>
      </c>
      <c r="Q82" s="65">
        <f>$M82*(1+'FSS Phase 1 Assumptions'!$D66)</f>
        <v>92700</v>
      </c>
      <c r="R82" s="65">
        <f>$M82*(1+'FSS Phase 1 Assumptions'!$D66)</f>
        <v>92700</v>
      </c>
      <c r="S82" s="65">
        <f>$M82*(1+'FSS Phase 1 Assumptions'!$D66)</f>
        <v>92700</v>
      </c>
      <c r="T82" s="65">
        <f>$M82*(1+'FSS Phase 1 Assumptions'!$D66)</f>
        <v>92700</v>
      </c>
      <c r="U82" s="65">
        <f>$M82*(1+'FSS Phase 1 Assumptions'!$D66)</f>
        <v>92700</v>
      </c>
      <c r="V82" s="65">
        <f>$M82*(1+'FSS Phase 1 Assumptions'!$D66)</f>
        <v>92700</v>
      </c>
      <c r="W82" s="65">
        <f>$M82*(1+'FSS Phase 1 Assumptions'!$D66)</f>
        <v>92700</v>
      </c>
      <c r="X82" s="65">
        <f>$M82*(1+'FSS Phase 1 Assumptions'!$D66)</f>
        <v>92700</v>
      </c>
      <c r="Y82" s="65">
        <f>$M82*(1+'FSS Phase 1 Assumptions'!$D66)</f>
        <v>92700</v>
      </c>
      <c r="Z82" s="65">
        <f>$M82*(1+'FSS Phase 1 Assumptions'!$D66)</f>
        <v>92700</v>
      </c>
      <c r="AA82" s="59">
        <f t="shared" ref="AA82:AA86" si="42">SUM(O82:Z82)</f>
        <v>1112400</v>
      </c>
      <c r="AB82" s="172">
        <f>AA82*(1+'FSS Phase 1 Assumptions'!E66)</f>
        <v>1145772</v>
      </c>
      <c r="AC82" s="172">
        <f>AB82*(1+'FSS Phase 1 Assumptions'!F66)</f>
        <v>1180145.1599999999</v>
      </c>
      <c r="AD82" s="172">
        <f>AC82*(1+'FSS Phase 1 Assumptions'!G66)</f>
        <v>1215549.5148</v>
      </c>
    </row>
    <row r="83" spans="1:30" x14ac:dyDescent="0.2">
      <c r="A83" s="76" t="s">
        <v>217</v>
      </c>
      <c r="B83" s="65">
        <f>'FSS Phase 1 Assumptions'!$B67</f>
        <v>5000</v>
      </c>
      <c r="C83" s="65">
        <f>'FSS Phase 1 Assumptions'!$B67</f>
        <v>5000</v>
      </c>
      <c r="D83" s="65">
        <f>'FSS Phase 1 Assumptions'!$B67</f>
        <v>5000</v>
      </c>
      <c r="E83" s="65">
        <f>'FSS Phase 1 Assumptions'!$B67</f>
        <v>5000</v>
      </c>
      <c r="F83" s="65">
        <f>'FSS Phase 1 Assumptions'!$B67</f>
        <v>5000</v>
      </c>
      <c r="G83" s="65">
        <f>'FSS Phase 1 Assumptions'!$B67</f>
        <v>5000</v>
      </c>
      <c r="H83" s="65">
        <f>'FSS Phase 1 Assumptions'!$B67</f>
        <v>5000</v>
      </c>
      <c r="I83" s="65">
        <f>'FSS Phase 1 Assumptions'!$B67</f>
        <v>5000</v>
      </c>
      <c r="J83" s="65">
        <f>'FSS Phase 1 Assumptions'!$B67</f>
        <v>5000</v>
      </c>
      <c r="K83" s="65">
        <f>'FSS Phase 1 Assumptions'!$B67</f>
        <v>5000</v>
      </c>
      <c r="L83" s="65">
        <f>'FSS Phase 1 Assumptions'!$B67</f>
        <v>5000</v>
      </c>
      <c r="M83" s="65">
        <f>'FSS Phase 1 Assumptions'!$B67</f>
        <v>5000</v>
      </c>
      <c r="N83" s="156">
        <f t="shared" si="41"/>
        <v>60000</v>
      </c>
      <c r="O83" s="65">
        <f>$M83*(1+'FSS Phase 1 Assumptions'!$D67)</f>
        <v>5150</v>
      </c>
      <c r="P83" s="65">
        <f>$M83*(1+'FSS Phase 1 Assumptions'!$D67)</f>
        <v>5150</v>
      </c>
      <c r="Q83" s="65">
        <f>$M83*(1+'FSS Phase 1 Assumptions'!$D67)</f>
        <v>5150</v>
      </c>
      <c r="R83" s="65">
        <f>$M83*(1+'FSS Phase 1 Assumptions'!$D67)</f>
        <v>5150</v>
      </c>
      <c r="S83" s="65">
        <f>$M83*(1+'FSS Phase 1 Assumptions'!$D67)</f>
        <v>5150</v>
      </c>
      <c r="T83" s="65">
        <f>$M83*(1+'FSS Phase 1 Assumptions'!$D67)</f>
        <v>5150</v>
      </c>
      <c r="U83" s="65">
        <f>$M83*(1+'FSS Phase 1 Assumptions'!$D67)</f>
        <v>5150</v>
      </c>
      <c r="V83" s="65">
        <f>$M83*(1+'FSS Phase 1 Assumptions'!$D67)</f>
        <v>5150</v>
      </c>
      <c r="W83" s="65">
        <f>$M83*(1+'FSS Phase 1 Assumptions'!$D67)</f>
        <v>5150</v>
      </c>
      <c r="X83" s="65">
        <f>$M83*(1+'FSS Phase 1 Assumptions'!$D67)</f>
        <v>5150</v>
      </c>
      <c r="Y83" s="65">
        <f>$M83*(1+'FSS Phase 1 Assumptions'!$D67)</f>
        <v>5150</v>
      </c>
      <c r="Z83" s="65">
        <f>$M83*(1+'FSS Phase 1 Assumptions'!$D67)</f>
        <v>5150</v>
      </c>
      <c r="AA83" s="59">
        <f t="shared" si="42"/>
        <v>61800</v>
      </c>
      <c r="AB83" s="172">
        <f>AA83*(1+'FSS Phase 1 Assumptions'!E67)</f>
        <v>63654</v>
      </c>
      <c r="AC83" s="172">
        <f>AB83*(1+'FSS Phase 1 Assumptions'!F67)</f>
        <v>65563.62</v>
      </c>
      <c r="AD83" s="172">
        <f>AC83*(1+'FSS Phase 1 Assumptions'!G67)</f>
        <v>67530.528599999991</v>
      </c>
    </row>
    <row r="84" spans="1:30" x14ac:dyDescent="0.2">
      <c r="A84" s="76" t="s">
        <v>401</v>
      </c>
      <c r="B84" s="65">
        <f>'FSS Phase 1 Assumptions'!$B68</f>
        <v>10000</v>
      </c>
      <c r="C84" s="65">
        <f>'FSS Phase 1 Assumptions'!$B68</f>
        <v>10000</v>
      </c>
      <c r="D84" s="65">
        <f>'FSS Phase 1 Assumptions'!$B68</f>
        <v>10000</v>
      </c>
      <c r="E84" s="65">
        <f>'FSS Phase 1 Assumptions'!$B68</f>
        <v>10000</v>
      </c>
      <c r="F84" s="65">
        <f>'FSS Phase 1 Assumptions'!$B68</f>
        <v>10000</v>
      </c>
      <c r="G84" s="65">
        <f>'FSS Phase 1 Assumptions'!$B68</f>
        <v>10000</v>
      </c>
      <c r="H84" s="65">
        <f>'FSS Phase 1 Assumptions'!$B68</f>
        <v>10000</v>
      </c>
      <c r="I84" s="65">
        <f>'FSS Phase 1 Assumptions'!$B68</f>
        <v>10000</v>
      </c>
      <c r="J84" s="65">
        <f>'FSS Phase 1 Assumptions'!$B68</f>
        <v>10000</v>
      </c>
      <c r="K84" s="65">
        <f>'FSS Phase 1 Assumptions'!$B68</f>
        <v>10000</v>
      </c>
      <c r="L84" s="65">
        <f>'FSS Phase 1 Assumptions'!$B68</f>
        <v>10000</v>
      </c>
      <c r="M84" s="65">
        <f>'FSS Phase 1 Assumptions'!$B68</f>
        <v>10000</v>
      </c>
      <c r="N84" s="156">
        <f t="shared" ref="N84" si="43">SUM(B84:M84)</f>
        <v>120000</v>
      </c>
      <c r="O84" s="65">
        <f>$M84*(1+'FSS Phase 1 Assumptions'!$D68)</f>
        <v>10300</v>
      </c>
      <c r="P84" s="65">
        <f>$M84*(1+'FSS Phase 1 Assumptions'!$D68)</f>
        <v>10300</v>
      </c>
      <c r="Q84" s="65">
        <f>$M84*(1+'FSS Phase 1 Assumptions'!$D68)</f>
        <v>10300</v>
      </c>
      <c r="R84" s="65">
        <f>$M84*(1+'FSS Phase 1 Assumptions'!$D68)</f>
        <v>10300</v>
      </c>
      <c r="S84" s="65">
        <f>$M84*(1+'FSS Phase 1 Assumptions'!$D68)</f>
        <v>10300</v>
      </c>
      <c r="T84" s="65">
        <f>$M84*(1+'FSS Phase 1 Assumptions'!$D68)</f>
        <v>10300</v>
      </c>
      <c r="U84" s="65">
        <f>$M84*(1+'FSS Phase 1 Assumptions'!$D68)</f>
        <v>10300</v>
      </c>
      <c r="V84" s="65">
        <f>$M84*(1+'FSS Phase 1 Assumptions'!$D68)</f>
        <v>10300</v>
      </c>
      <c r="W84" s="65">
        <f>$M84*(1+'FSS Phase 1 Assumptions'!$D68)</f>
        <v>10300</v>
      </c>
      <c r="X84" s="65">
        <f>$M84*(1+'FSS Phase 1 Assumptions'!$D68)</f>
        <v>10300</v>
      </c>
      <c r="Y84" s="65">
        <f>$M84*(1+'FSS Phase 1 Assumptions'!$D68)</f>
        <v>10300</v>
      </c>
      <c r="Z84" s="65">
        <f>$M84*(1+'FSS Phase 1 Assumptions'!$D68)</f>
        <v>10300</v>
      </c>
      <c r="AA84" s="59">
        <f t="shared" ref="AA84" si="44">SUM(O84:Z84)</f>
        <v>123600</v>
      </c>
      <c r="AB84" s="172">
        <f>AA84*(1+'FSS Phase 1 Assumptions'!E68)</f>
        <v>127308</v>
      </c>
      <c r="AC84" s="172">
        <f>AB84*(1+'FSS Phase 1 Assumptions'!F68)</f>
        <v>131127.24</v>
      </c>
      <c r="AD84" s="172">
        <f>AC84*(1+'FSS Phase 1 Assumptions'!G68)</f>
        <v>135061.05719999998</v>
      </c>
    </row>
    <row r="85" spans="1:30" x14ac:dyDescent="0.2">
      <c r="A85" s="76" t="s">
        <v>233</v>
      </c>
      <c r="B85" s="65">
        <f>'FSS Phase 1 Assumptions'!$B69</f>
        <v>8000</v>
      </c>
      <c r="C85" s="65">
        <f>'FSS Phase 1 Assumptions'!$B69</f>
        <v>8000</v>
      </c>
      <c r="D85" s="65">
        <f>'FSS Phase 1 Assumptions'!$B69</f>
        <v>8000</v>
      </c>
      <c r="E85" s="65">
        <f>'FSS Phase 1 Assumptions'!$B69</f>
        <v>8000</v>
      </c>
      <c r="F85" s="65">
        <f>'FSS Phase 1 Assumptions'!$B69</f>
        <v>8000</v>
      </c>
      <c r="G85" s="65">
        <f>'FSS Phase 1 Assumptions'!$B69</f>
        <v>8000</v>
      </c>
      <c r="H85" s="65">
        <f>'FSS Phase 1 Assumptions'!$B69</f>
        <v>8000</v>
      </c>
      <c r="I85" s="65">
        <f>'FSS Phase 1 Assumptions'!$B69</f>
        <v>8000</v>
      </c>
      <c r="J85" s="65">
        <f>'FSS Phase 1 Assumptions'!$B69</f>
        <v>8000</v>
      </c>
      <c r="K85" s="65">
        <f>'FSS Phase 1 Assumptions'!$B69</f>
        <v>8000</v>
      </c>
      <c r="L85" s="65">
        <f>'FSS Phase 1 Assumptions'!$B69</f>
        <v>8000</v>
      </c>
      <c r="M85" s="65">
        <f>'FSS Phase 1 Assumptions'!$B69</f>
        <v>8000</v>
      </c>
      <c r="N85" s="156">
        <f t="shared" si="41"/>
        <v>96000</v>
      </c>
      <c r="O85" s="65">
        <f>$M85*(1+'FSS Phase 1 Assumptions'!$D69)</f>
        <v>8240</v>
      </c>
      <c r="P85" s="65">
        <f>$M85*(1+'FSS Phase 1 Assumptions'!$D69)</f>
        <v>8240</v>
      </c>
      <c r="Q85" s="65">
        <f>$M85*(1+'FSS Phase 1 Assumptions'!$D69)</f>
        <v>8240</v>
      </c>
      <c r="R85" s="65">
        <f>$M85*(1+'FSS Phase 1 Assumptions'!$D69)</f>
        <v>8240</v>
      </c>
      <c r="S85" s="65">
        <f>$M85*(1+'FSS Phase 1 Assumptions'!$D69)</f>
        <v>8240</v>
      </c>
      <c r="T85" s="65">
        <f>$M85*(1+'FSS Phase 1 Assumptions'!$D69)</f>
        <v>8240</v>
      </c>
      <c r="U85" s="65">
        <f>$M85*(1+'FSS Phase 1 Assumptions'!$D69)</f>
        <v>8240</v>
      </c>
      <c r="V85" s="65">
        <f>$M85*(1+'FSS Phase 1 Assumptions'!$D69)</f>
        <v>8240</v>
      </c>
      <c r="W85" s="65">
        <f>$M85*(1+'FSS Phase 1 Assumptions'!$D69)</f>
        <v>8240</v>
      </c>
      <c r="X85" s="65">
        <f>$M85*(1+'FSS Phase 1 Assumptions'!$D69)</f>
        <v>8240</v>
      </c>
      <c r="Y85" s="65">
        <f>$M85*(1+'FSS Phase 1 Assumptions'!$D69)</f>
        <v>8240</v>
      </c>
      <c r="Z85" s="65">
        <f>$M85*(1+'FSS Phase 1 Assumptions'!$D69)</f>
        <v>8240</v>
      </c>
      <c r="AA85" s="59">
        <f t="shared" si="42"/>
        <v>98880</v>
      </c>
      <c r="AB85" s="172">
        <f>AA85*(1+'FSS Phase 1 Assumptions'!E69)</f>
        <v>101846.40000000001</v>
      </c>
      <c r="AC85" s="172">
        <f>AB85*(1+'FSS Phase 1 Assumptions'!F69)</f>
        <v>104901.79200000002</v>
      </c>
      <c r="AD85" s="172">
        <f>AC85*(1+'FSS Phase 1 Assumptions'!G69)</f>
        <v>108048.84576000003</v>
      </c>
    </row>
    <row r="86" spans="1:30" x14ac:dyDescent="0.2">
      <c r="A86" s="76" t="s">
        <v>236</v>
      </c>
      <c r="B86" s="65">
        <f>'FSS Phase 1 Assumptions'!$B70</f>
        <v>4000</v>
      </c>
      <c r="C86" s="65">
        <f>'FSS Phase 1 Assumptions'!$B70</f>
        <v>4000</v>
      </c>
      <c r="D86" s="65">
        <f>'FSS Phase 1 Assumptions'!$B70</f>
        <v>4000</v>
      </c>
      <c r="E86" s="65">
        <f>'FSS Phase 1 Assumptions'!$B70</f>
        <v>4000</v>
      </c>
      <c r="F86" s="65">
        <f>'FSS Phase 1 Assumptions'!$B70</f>
        <v>4000</v>
      </c>
      <c r="G86" s="65">
        <f>'FSS Phase 1 Assumptions'!$B70</f>
        <v>4000</v>
      </c>
      <c r="H86" s="65">
        <f>'FSS Phase 1 Assumptions'!$B70</f>
        <v>4000</v>
      </c>
      <c r="I86" s="65">
        <f>'FSS Phase 1 Assumptions'!$B70</f>
        <v>4000</v>
      </c>
      <c r="J86" s="65">
        <f>'FSS Phase 1 Assumptions'!$B70</f>
        <v>4000</v>
      </c>
      <c r="K86" s="65">
        <f>'FSS Phase 1 Assumptions'!$B70</f>
        <v>4000</v>
      </c>
      <c r="L86" s="65">
        <f>'FSS Phase 1 Assumptions'!$B70</f>
        <v>4000</v>
      </c>
      <c r="M86" s="65">
        <f>'FSS Phase 1 Assumptions'!$B70</f>
        <v>4000</v>
      </c>
      <c r="N86" s="156">
        <f t="shared" si="41"/>
        <v>48000</v>
      </c>
      <c r="O86" s="65">
        <f>$M86*(1+'FSS Phase 1 Assumptions'!$D70)</f>
        <v>4120</v>
      </c>
      <c r="P86" s="65">
        <f>$M86*(1+'FSS Phase 1 Assumptions'!$D70)</f>
        <v>4120</v>
      </c>
      <c r="Q86" s="65">
        <f>$M86*(1+'FSS Phase 1 Assumptions'!$D70)</f>
        <v>4120</v>
      </c>
      <c r="R86" s="65">
        <f>$M86*(1+'FSS Phase 1 Assumptions'!$D70)</f>
        <v>4120</v>
      </c>
      <c r="S86" s="65">
        <f>$M86*(1+'FSS Phase 1 Assumptions'!$D70)</f>
        <v>4120</v>
      </c>
      <c r="T86" s="65">
        <f>$M86*(1+'FSS Phase 1 Assumptions'!$D70)</f>
        <v>4120</v>
      </c>
      <c r="U86" s="65">
        <f>$M86*(1+'FSS Phase 1 Assumptions'!$D70)</f>
        <v>4120</v>
      </c>
      <c r="V86" s="65">
        <f>$M86*(1+'FSS Phase 1 Assumptions'!$D70)</f>
        <v>4120</v>
      </c>
      <c r="W86" s="65">
        <f>$M86*(1+'FSS Phase 1 Assumptions'!$D70)</f>
        <v>4120</v>
      </c>
      <c r="X86" s="65">
        <f>$M86*(1+'FSS Phase 1 Assumptions'!$D70)</f>
        <v>4120</v>
      </c>
      <c r="Y86" s="65">
        <f>$M86*(1+'FSS Phase 1 Assumptions'!$D70)</f>
        <v>4120</v>
      </c>
      <c r="Z86" s="65">
        <f>$M86*(1+'FSS Phase 1 Assumptions'!$D70)</f>
        <v>4120</v>
      </c>
      <c r="AA86" s="59">
        <f t="shared" si="42"/>
        <v>49440</v>
      </c>
      <c r="AB86" s="172">
        <f>AA86*(1+'FSS Phase 1 Assumptions'!E70)</f>
        <v>50923.200000000004</v>
      </c>
      <c r="AC86" s="172">
        <f>AB86*(1+'FSS Phase 1 Assumptions'!F70)</f>
        <v>52450.896000000008</v>
      </c>
      <c r="AD86" s="172">
        <f>AC86*(1+'FSS Phase 1 Assumptions'!G70)</f>
        <v>54024.422880000013</v>
      </c>
    </row>
    <row r="87" spans="1:30" x14ac:dyDescent="0.2">
      <c r="A87" s="76" t="s">
        <v>407</v>
      </c>
      <c r="B87" s="65">
        <f>'FSS Phase 1 Assumptions'!$B71</f>
        <v>1000</v>
      </c>
      <c r="C87" s="65">
        <f>'FSS Phase 1 Assumptions'!$B71</f>
        <v>1000</v>
      </c>
      <c r="D87" s="65">
        <f>'FSS Phase 1 Assumptions'!$B71</f>
        <v>1000</v>
      </c>
      <c r="E87" s="65">
        <f>'FSS Phase 1 Assumptions'!$B71</f>
        <v>1000</v>
      </c>
      <c r="F87" s="65">
        <f>'FSS Phase 1 Assumptions'!$B71</f>
        <v>1000</v>
      </c>
      <c r="G87" s="65">
        <f>'FSS Phase 1 Assumptions'!$B71</f>
        <v>1000</v>
      </c>
      <c r="H87" s="65">
        <f>'FSS Phase 1 Assumptions'!$B71</f>
        <v>1000</v>
      </c>
      <c r="I87" s="65">
        <f>'FSS Phase 1 Assumptions'!$B71</f>
        <v>1000</v>
      </c>
      <c r="J87" s="65">
        <f>'FSS Phase 1 Assumptions'!$B71</f>
        <v>1000</v>
      </c>
      <c r="K87" s="65">
        <f>'FSS Phase 1 Assumptions'!$B71</f>
        <v>1000</v>
      </c>
      <c r="L87" s="65">
        <f>'FSS Phase 1 Assumptions'!$B71</f>
        <v>1000</v>
      </c>
      <c r="M87" s="65">
        <f>'FSS Phase 1 Assumptions'!$B71</f>
        <v>1000</v>
      </c>
      <c r="N87" s="156">
        <f t="shared" ref="N87" si="45">SUM(B87:M87)</f>
        <v>12000</v>
      </c>
      <c r="O87" s="65">
        <f>$M87*(1+'FSS Phase 1 Assumptions'!$D71)</f>
        <v>1030</v>
      </c>
      <c r="P87" s="65">
        <f>$M87*(1+'FSS Phase 1 Assumptions'!$D71)</f>
        <v>1030</v>
      </c>
      <c r="Q87" s="65">
        <f>$M87*(1+'FSS Phase 1 Assumptions'!$D71)</f>
        <v>1030</v>
      </c>
      <c r="R87" s="65">
        <f>$M87*(1+'FSS Phase 1 Assumptions'!$D71)</f>
        <v>1030</v>
      </c>
      <c r="S87" s="65">
        <f>$M87*(1+'FSS Phase 1 Assumptions'!$D71)</f>
        <v>1030</v>
      </c>
      <c r="T87" s="65">
        <f>$M87*(1+'FSS Phase 1 Assumptions'!$D71)</f>
        <v>1030</v>
      </c>
      <c r="U87" s="65">
        <f>$M87*(1+'FSS Phase 1 Assumptions'!$D71)</f>
        <v>1030</v>
      </c>
      <c r="V87" s="65">
        <f>$M87*(1+'FSS Phase 1 Assumptions'!$D71)</f>
        <v>1030</v>
      </c>
      <c r="W87" s="65">
        <f>$M87*(1+'FSS Phase 1 Assumptions'!$D71)</f>
        <v>1030</v>
      </c>
      <c r="X87" s="65">
        <f>$M87*(1+'FSS Phase 1 Assumptions'!$D71)</f>
        <v>1030</v>
      </c>
      <c r="Y87" s="65">
        <f>$M87*(1+'FSS Phase 1 Assumptions'!$D71)</f>
        <v>1030</v>
      </c>
      <c r="Z87" s="65">
        <f>$M87*(1+'FSS Phase 1 Assumptions'!$D71)</f>
        <v>1030</v>
      </c>
      <c r="AA87" s="59">
        <f t="shared" ref="AA87" si="46">SUM(O87:Z87)</f>
        <v>12360</v>
      </c>
      <c r="AB87" s="172">
        <f>AA87*(1+'FSS Phase 1 Assumptions'!E71)</f>
        <v>12730.800000000001</v>
      </c>
      <c r="AC87" s="172">
        <f>AB87*(1+'FSS Phase 1 Assumptions'!F71)</f>
        <v>13112.724000000002</v>
      </c>
      <c r="AD87" s="172">
        <f>AC87*(1+'FSS Phase 1 Assumptions'!G71)</f>
        <v>13506.105720000003</v>
      </c>
    </row>
    <row r="88" spans="1:30" x14ac:dyDescent="0.2">
      <c r="A88" s="76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</row>
    <row r="89" spans="1:30" s="80" customFormat="1" collapsed="1" x14ac:dyDescent="0.2">
      <c r="A89" s="90" t="s">
        <v>216</v>
      </c>
      <c r="B89" s="81">
        <f t="shared" ref="B89:N89" si="47">SUM(B82:B88)</f>
        <v>118000</v>
      </c>
      <c r="C89" s="81">
        <f t="shared" si="47"/>
        <v>118000</v>
      </c>
      <c r="D89" s="81">
        <f t="shared" si="47"/>
        <v>118000</v>
      </c>
      <c r="E89" s="81">
        <f t="shared" si="47"/>
        <v>118000</v>
      </c>
      <c r="F89" s="81">
        <f t="shared" si="47"/>
        <v>118000</v>
      </c>
      <c r="G89" s="81">
        <f t="shared" si="47"/>
        <v>118000</v>
      </c>
      <c r="H89" s="81">
        <f t="shared" si="47"/>
        <v>118000</v>
      </c>
      <c r="I89" s="81">
        <f t="shared" si="47"/>
        <v>118000</v>
      </c>
      <c r="J89" s="81">
        <f t="shared" si="47"/>
        <v>118000</v>
      </c>
      <c r="K89" s="81">
        <f t="shared" si="47"/>
        <v>118000</v>
      </c>
      <c r="L89" s="81">
        <f t="shared" si="47"/>
        <v>118000</v>
      </c>
      <c r="M89" s="81">
        <f t="shared" si="47"/>
        <v>118000</v>
      </c>
      <c r="N89" s="81">
        <f t="shared" si="47"/>
        <v>1416000</v>
      </c>
      <c r="O89" s="81">
        <f t="shared" ref="O89:AA89" si="48">SUM(O82:O88)</f>
        <v>121540</v>
      </c>
      <c r="P89" s="81">
        <f t="shared" si="48"/>
        <v>121540</v>
      </c>
      <c r="Q89" s="81">
        <f t="shared" si="48"/>
        <v>121540</v>
      </c>
      <c r="R89" s="81">
        <f t="shared" si="48"/>
        <v>121540</v>
      </c>
      <c r="S89" s="81">
        <f t="shared" si="48"/>
        <v>121540</v>
      </c>
      <c r="T89" s="81">
        <f t="shared" si="48"/>
        <v>121540</v>
      </c>
      <c r="U89" s="81">
        <f t="shared" si="48"/>
        <v>121540</v>
      </c>
      <c r="V89" s="81">
        <f t="shared" si="48"/>
        <v>121540</v>
      </c>
      <c r="W89" s="81">
        <f t="shared" si="48"/>
        <v>121540</v>
      </c>
      <c r="X89" s="81">
        <f t="shared" si="48"/>
        <v>121540</v>
      </c>
      <c r="Y89" s="81">
        <f t="shared" si="48"/>
        <v>121540</v>
      </c>
      <c r="Z89" s="81">
        <f t="shared" si="48"/>
        <v>121540</v>
      </c>
      <c r="AA89" s="81">
        <f t="shared" si="48"/>
        <v>1458480</v>
      </c>
      <c r="AB89" s="81">
        <f t="shared" ref="AB89:AD89" si="49">SUM(AB82:AB88)</f>
        <v>1502234.4</v>
      </c>
      <c r="AC89" s="81">
        <f t="shared" si="49"/>
        <v>1547301.4319999998</v>
      </c>
      <c r="AD89" s="81">
        <f t="shared" si="49"/>
        <v>1593720.47496</v>
      </c>
    </row>
    <row r="90" spans="1:30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159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168"/>
      <c r="AC90" s="168"/>
      <c r="AD90" s="168"/>
    </row>
    <row r="91" spans="1:30" x14ac:dyDescent="0.2">
      <c r="A91" s="74" t="s">
        <v>225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159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168"/>
      <c r="AC91" s="168"/>
      <c r="AD91" s="168"/>
    </row>
    <row r="92" spans="1:30" x14ac:dyDescent="0.2">
      <c r="A92" s="76" t="s">
        <v>226</v>
      </c>
      <c r="B92" s="65">
        <f>'FSS Phase 1 Assumptions'!$B74</f>
        <v>10000</v>
      </c>
      <c r="C92" s="65">
        <f>'FSS Phase 1 Assumptions'!$B74</f>
        <v>10000</v>
      </c>
      <c r="D92" s="65">
        <f>'FSS Phase 1 Assumptions'!$B74</f>
        <v>10000</v>
      </c>
      <c r="E92" s="65">
        <f>'FSS Phase 1 Assumptions'!$B74</f>
        <v>10000</v>
      </c>
      <c r="F92" s="65">
        <f>'FSS Phase 1 Assumptions'!$B74</f>
        <v>10000</v>
      </c>
      <c r="G92" s="65">
        <f>'FSS Phase 1 Assumptions'!$B74</f>
        <v>10000</v>
      </c>
      <c r="H92" s="65">
        <f>'FSS Phase 1 Assumptions'!$B74</f>
        <v>10000</v>
      </c>
      <c r="I92" s="65">
        <f>'FSS Phase 1 Assumptions'!$B74</f>
        <v>10000</v>
      </c>
      <c r="J92" s="65">
        <f>'FSS Phase 1 Assumptions'!$B74</f>
        <v>10000</v>
      </c>
      <c r="K92" s="65">
        <f>'FSS Phase 1 Assumptions'!$B74</f>
        <v>10000</v>
      </c>
      <c r="L92" s="65">
        <f>'FSS Phase 1 Assumptions'!$B74</f>
        <v>10000</v>
      </c>
      <c r="M92" s="65">
        <f>'FSS Phase 1 Assumptions'!$B74</f>
        <v>10000</v>
      </c>
      <c r="N92" s="156">
        <f t="shared" ref="N92:N94" si="50">SUM(B92:M92)</f>
        <v>120000</v>
      </c>
      <c r="O92" s="65">
        <f>$M92*(1+'FSS Phase 1 Assumptions'!$D74)</f>
        <v>10600</v>
      </c>
      <c r="P92" s="65">
        <f>$M92*(1+'FSS Phase 1 Assumptions'!$D74)</f>
        <v>10600</v>
      </c>
      <c r="Q92" s="65">
        <f>$M92*(1+'FSS Phase 1 Assumptions'!$D74)</f>
        <v>10600</v>
      </c>
      <c r="R92" s="65">
        <f>$M92*(1+'FSS Phase 1 Assumptions'!$D74)</f>
        <v>10600</v>
      </c>
      <c r="S92" s="65">
        <f>$M92*(1+'FSS Phase 1 Assumptions'!$D74)</f>
        <v>10600</v>
      </c>
      <c r="T92" s="65">
        <f>$M92*(1+'FSS Phase 1 Assumptions'!$D74)</f>
        <v>10600</v>
      </c>
      <c r="U92" s="65">
        <f>$M92*(1+'FSS Phase 1 Assumptions'!$D74)</f>
        <v>10600</v>
      </c>
      <c r="V92" s="65">
        <f>$M92*(1+'FSS Phase 1 Assumptions'!$D74)</f>
        <v>10600</v>
      </c>
      <c r="W92" s="65">
        <f>$M92*(1+'FSS Phase 1 Assumptions'!$D74)</f>
        <v>10600</v>
      </c>
      <c r="X92" s="65">
        <f>$M92*(1+'FSS Phase 1 Assumptions'!$D74)</f>
        <v>10600</v>
      </c>
      <c r="Y92" s="65">
        <f>$M92*(1+'FSS Phase 1 Assumptions'!$D74)</f>
        <v>10600</v>
      </c>
      <c r="Z92" s="65">
        <f>$M92*(1+'FSS Phase 1 Assumptions'!$D74)</f>
        <v>10600</v>
      </c>
      <c r="AA92" s="59">
        <f t="shared" ref="AA92:AA94" si="51">SUM(O92:Z92)</f>
        <v>127200</v>
      </c>
      <c r="AB92" s="172">
        <f>AA92*(1+'FSS Phase 1 Assumptions'!E74)</f>
        <v>132288</v>
      </c>
      <c r="AC92" s="172">
        <f>AB92*(1+'FSS Phase 1 Assumptions'!F74)</f>
        <v>136256.64000000001</v>
      </c>
      <c r="AD92" s="172">
        <f>AC92*(1+'FSS Phase 1 Assumptions'!G74)</f>
        <v>140344.33920000002</v>
      </c>
    </row>
    <row r="93" spans="1:30" x14ac:dyDescent="0.2">
      <c r="A93" s="76" t="s">
        <v>227</v>
      </c>
      <c r="B93" s="65">
        <f>'FSS Phase 1 Assumptions'!$B75</f>
        <v>3000</v>
      </c>
      <c r="C93" s="65">
        <f>'FSS Phase 1 Assumptions'!$B75</f>
        <v>3000</v>
      </c>
      <c r="D93" s="65">
        <f>'FSS Phase 1 Assumptions'!$B75</f>
        <v>3000</v>
      </c>
      <c r="E93" s="65">
        <f>'FSS Phase 1 Assumptions'!$B75</f>
        <v>3000</v>
      </c>
      <c r="F93" s="65">
        <f>'FSS Phase 1 Assumptions'!$B75</f>
        <v>3000</v>
      </c>
      <c r="G93" s="65">
        <f>'FSS Phase 1 Assumptions'!$B75</f>
        <v>3000</v>
      </c>
      <c r="H93" s="65">
        <f>'FSS Phase 1 Assumptions'!$B75</f>
        <v>3000</v>
      </c>
      <c r="I93" s="65">
        <f>'FSS Phase 1 Assumptions'!$B75</f>
        <v>3000</v>
      </c>
      <c r="J93" s="65">
        <f>'FSS Phase 1 Assumptions'!$B75</f>
        <v>3000</v>
      </c>
      <c r="K93" s="65">
        <f>'FSS Phase 1 Assumptions'!$B75</f>
        <v>3000</v>
      </c>
      <c r="L93" s="65">
        <f>'FSS Phase 1 Assumptions'!$B75</f>
        <v>3000</v>
      </c>
      <c r="M93" s="65">
        <f>'FSS Phase 1 Assumptions'!$B75</f>
        <v>3000</v>
      </c>
      <c r="N93" s="156">
        <f t="shared" si="50"/>
        <v>36000</v>
      </c>
      <c r="O93" s="65">
        <f>$M93*(1+'FSS Phase 1 Assumptions'!$D75)</f>
        <v>3180</v>
      </c>
      <c r="P93" s="65">
        <f>$M93*(1+'FSS Phase 1 Assumptions'!$D75)</f>
        <v>3180</v>
      </c>
      <c r="Q93" s="65">
        <f>$M93*(1+'FSS Phase 1 Assumptions'!$D75)</f>
        <v>3180</v>
      </c>
      <c r="R93" s="65">
        <f>$M93*(1+'FSS Phase 1 Assumptions'!$D75)</f>
        <v>3180</v>
      </c>
      <c r="S93" s="65">
        <f>$M93*(1+'FSS Phase 1 Assumptions'!$D75)</f>
        <v>3180</v>
      </c>
      <c r="T93" s="65">
        <f>$M93*(1+'FSS Phase 1 Assumptions'!$D75)</f>
        <v>3180</v>
      </c>
      <c r="U93" s="65">
        <f>$M93*(1+'FSS Phase 1 Assumptions'!$D75)</f>
        <v>3180</v>
      </c>
      <c r="V93" s="65">
        <f>$M93*(1+'FSS Phase 1 Assumptions'!$D75)</f>
        <v>3180</v>
      </c>
      <c r="W93" s="65">
        <f>$M93*(1+'FSS Phase 1 Assumptions'!$D75)</f>
        <v>3180</v>
      </c>
      <c r="X93" s="65">
        <f>$M93*(1+'FSS Phase 1 Assumptions'!$D75)</f>
        <v>3180</v>
      </c>
      <c r="Y93" s="65">
        <f>$M93*(1+'FSS Phase 1 Assumptions'!$D75)</f>
        <v>3180</v>
      </c>
      <c r="Z93" s="65">
        <f>$M93*(1+'FSS Phase 1 Assumptions'!$D75)</f>
        <v>3180</v>
      </c>
      <c r="AA93" s="59">
        <f t="shared" si="51"/>
        <v>38160</v>
      </c>
      <c r="AB93" s="172">
        <f>AA93*(1+'FSS Phase 1 Assumptions'!E75)</f>
        <v>39686.400000000001</v>
      </c>
      <c r="AC93" s="172">
        <f>AB93*(1+'FSS Phase 1 Assumptions'!F75)</f>
        <v>40876.992000000006</v>
      </c>
      <c r="AD93" s="172">
        <f>AC93*(1+'FSS Phase 1 Assumptions'!G75)</f>
        <v>42103.301760000009</v>
      </c>
    </row>
    <row r="94" spans="1:30" x14ac:dyDescent="0.2">
      <c r="A94" s="76" t="s">
        <v>231</v>
      </c>
      <c r="B94" s="65">
        <f>'FSS Phase 1 Assumptions'!$B76</f>
        <v>500</v>
      </c>
      <c r="C94" s="65">
        <f>'FSS Phase 1 Assumptions'!$B76</f>
        <v>500</v>
      </c>
      <c r="D94" s="65">
        <f>'FSS Phase 1 Assumptions'!$B76</f>
        <v>500</v>
      </c>
      <c r="E94" s="65">
        <f>'FSS Phase 1 Assumptions'!$B76</f>
        <v>500</v>
      </c>
      <c r="F94" s="65">
        <f>'FSS Phase 1 Assumptions'!$B76</f>
        <v>500</v>
      </c>
      <c r="G94" s="65">
        <f>'FSS Phase 1 Assumptions'!$B76</f>
        <v>500</v>
      </c>
      <c r="H94" s="65">
        <f>'FSS Phase 1 Assumptions'!$B76</f>
        <v>500</v>
      </c>
      <c r="I94" s="65">
        <f>'FSS Phase 1 Assumptions'!$B76</f>
        <v>500</v>
      </c>
      <c r="J94" s="65">
        <f>'FSS Phase 1 Assumptions'!$B76</f>
        <v>500</v>
      </c>
      <c r="K94" s="65">
        <f>'FSS Phase 1 Assumptions'!$B76</f>
        <v>500</v>
      </c>
      <c r="L94" s="65">
        <f>'FSS Phase 1 Assumptions'!$B76</f>
        <v>500</v>
      </c>
      <c r="M94" s="65">
        <f>'FSS Phase 1 Assumptions'!$B76</f>
        <v>500</v>
      </c>
      <c r="N94" s="156">
        <f t="shared" si="50"/>
        <v>6000</v>
      </c>
      <c r="O94" s="65">
        <f>$M94*(1+'FSS Phase 1 Assumptions'!$D76)</f>
        <v>530</v>
      </c>
      <c r="P94" s="65">
        <f>$M94*(1+'FSS Phase 1 Assumptions'!$D76)</f>
        <v>530</v>
      </c>
      <c r="Q94" s="65">
        <f>$M94*(1+'FSS Phase 1 Assumptions'!$D76)</f>
        <v>530</v>
      </c>
      <c r="R94" s="65">
        <f>$M94*(1+'FSS Phase 1 Assumptions'!$D76)</f>
        <v>530</v>
      </c>
      <c r="S94" s="65">
        <f>$M94*(1+'FSS Phase 1 Assumptions'!$D76)</f>
        <v>530</v>
      </c>
      <c r="T94" s="65">
        <f>$M94*(1+'FSS Phase 1 Assumptions'!$D76)</f>
        <v>530</v>
      </c>
      <c r="U94" s="65">
        <f>$M94*(1+'FSS Phase 1 Assumptions'!$D76)</f>
        <v>530</v>
      </c>
      <c r="V94" s="65">
        <f>$M94*(1+'FSS Phase 1 Assumptions'!$D76)</f>
        <v>530</v>
      </c>
      <c r="W94" s="65">
        <f>$M94*(1+'FSS Phase 1 Assumptions'!$D76)</f>
        <v>530</v>
      </c>
      <c r="X94" s="65">
        <f>$M94*(1+'FSS Phase 1 Assumptions'!$D76)</f>
        <v>530</v>
      </c>
      <c r="Y94" s="65">
        <f>$M94*(1+'FSS Phase 1 Assumptions'!$D76)</f>
        <v>530</v>
      </c>
      <c r="Z94" s="65">
        <f>$M94*(1+'FSS Phase 1 Assumptions'!$D76)</f>
        <v>530</v>
      </c>
      <c r="AA94" s="59">
        <f t="shared" si="51"/>
        <v>6360</v>
      </c>
      <c r="AB94" s="172">
        <f>AA94*(1+'FSS Phase 1 Assumptions'!E76)</f>
        <v>6614.4000000000005</v>
      </c>
      <c r="AC94" s="172">
        <f>AB94*(1+'FSS Phase 1 Assumptions'!F76)</f>
        <v>6812.8320000000003</v>
      </c>
      <c r="AD94" s="172">
        <f>AC94*(1+'FSS Phase 1 Assumptions'!G76)</f>
        <v>7017.2169600000007</v>
      </c>
    </row>
    <row r="95" spans="1:30" x14ac:dyDescent="0.2">
      <c r="A95" s="7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160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132"/>
      <c r="AB95" s="174"/>
      <c r="AC95" s="174"/>
      <c r="AD95" s="174"/>
    </row>
    <row r="96" spans="1:30" s="80" customFormat="1" collapsed="1" x14ac:dyDescent="0.2">
      <c r="A96" s="90" t="s">
        <v>101</v>
      </c>
      <c r="B96" s="81">
        <f t="shared" ref="B96:AD96" si="52">SUM(B92:B95)</f>
        <v>13500</v>
      </c>
      <c r="C96" s="81">
        <f t="shared" si="52"/>
        <v>13500</v>
      </c>
      <c r="D96" s="81">
        <f t="shared" si="52"/>
        <v>13500</v>
      </c>
      <c r="E96" s="81">
        <f t="shared" si="52"/>
        <v>13500</v>
      </c>
      <c r="F96" s="81">
        <f t="shared" si="52"/>
        <v>13500</v>
      </c>
      <c r="G96" s="81">
        <f t="shared" si="52"/>
        <v>13500</v>
      </c>
      <c r="H96" s="81">
        <f t="shared" si="52"/>
        <v>13500</v>
      </c>
      <c r="I96" s="81">
        <f t="shared" si="52"/>
        <v>13500</v>
      </c>
      <c r="J96" s="81">
        <f t="shared" si="52"/>
        <v>13500</v>
      </c>
      <c r="K96" s="81">
        <f t="shared" si="52"/>
        <v>13500</v>
      </c>
      <c r="L96" s="81">
        <f t="shared" si="52"/>
        <v>13500</v>
      </c>
      <c r="M96" s="81">
        <f t="shared" si="52"/>
        <v>13500</v>
      </c>
      <c r="N96" s="81">
        <f t="shared" si="52"/>
        <v>162000</v>
      </c>
      <c r="O96" s="81">
        <f t="shared" si="52"/>
        <v>14310</v>
      </c>
      <c r="P96" s="81">
        <f t="shared" si="52"/>
        <v>14310</v>
      </c>
      <c r="Q96" s="81">
        <f t="shared" si="52"/>
        <v>14310</v>
      </c>
      <c r="R96" s="81">
        <f t="shared" si="52"/>
        <v>14310</v>
      </c>
      <c r="S96" s="81">
        <f t="shared" si="52"/>
        <v>14310</v>
      </c>
      <c r="T96" s="81">
        <f t="shared" si="52"/>
        <v>14310</v>
      </c>
      <c r="U96" s="81">
        <f t="shared" si="52"/>
        <v>14310</v>
      </c>
      <c r="V96" s="81">
        <f t="shared" si="52"/>
        <v>14310</v>
      </c>
      <c r="W96" s="81">
        <f t="shared" si="52"/>
        <v>14310</v>
      </c>
      <c r="X96" s="81">
        <f t="shared" si="52"/>
        <v>14310</v>
      </c>
      <c r="Y96" s="81">
        <f t="shared" si="52"/>
        <v>14310</v>
      </c>
      <c r="Z96" s="81">
        <f t="shared" si="52"/>
        <v>14310</v>
      </c>
      <c r="AA96" s="81">
        <f t="shared" si="52"/>
        <v>171720</v>
      </c>
      <c r="AB96" s="81">
        <f t="shared" si="52"/>
        <v>178588.79999999999</v>
      </c>
      <c r="AC96" s="81">
        <f t="shared" si="52"/>
        <v>183946.46400000001</v>
      </c>
      <c r="AD96" s="81">
        <f t="shared" si="52"/>
        <v>189464.85792000001</v>
      </c>
    </row>
    <row r="97" spans="1:30" x14ac:dyDescent="0.2">
      <c r="A97" s="76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159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168"/>
      <c r="AC97" s="168"/>
      <c r="AD97" s="168"/>
    </row>
    <row r="98" spans="1:30" x14ac:dyDescent="0.2">
      <c r="A98" s="74" t="s">
        <v>102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159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168"/>
      <c r="AC98" s="168"/>
      <c r="AD98" s="168"/>
    </row>
    <row r="99" spans="1:30" x14ac:dyDescent="0.2">
      <c r="A99" s="76" t="s">
        <v>209</v>
      </c>
      <c r="B99" s="65">
        <f>'FSS Phase 1 Assumptions'!$B79</f>
        <v>40000</v>
      </c>
      <c r="C99" s="65">
        <f>'FSS Phase 1 Assumptions'!$B79</f>
        <v>40000</v>
      </c>
      <c r="D99" s="65">
        <f>'FSS Phase 1 Assumptions'!$B79</f>
        <v>40000</v>
      </c>
      <c r="E99" s="65">
        <f>'FSS Phase 1 Assumptions'!$B79</f>
        <v>40000</v>
      </c>
      <c r="F99" s="65">
        <f>'FSS Phase 1 Assumptions'!$B79</f>
        <v>40000</v>
      </c>
      <c r="G99" s="65">
        <f>'FSS Phase 1 Assumptions'!$B79</f>
        <v>40000</v>
      </c>
      <c r="H99" s="65">
        <f>'FSS Phase 1 Assumptions'!$B79</f>
        <v>40000</v>
      </c>
      <c r="I99" s="65">
        <f>'FSS Phase 1 Assumptions'!$B79</f>
        <v>40000</v>
      </c>
      <c r="J99" s="65">
        <f>'FSS Phase 1 Assumptions'!$B79</f>
        <v>40000</v>
      </c>
      <c r="K99" s="65">
        <f>'FSS Phase 1 Assumptions'!$B79</f>
        <v>40000</v>
      </c>
      <c r="L99" s="65">
        <f>'FSS Phase 1 Assumptions'!$B79</f>
        <v>40000</v>
      </c>
      <c r="M99" s="65">
        <f>'FSS Phase 1 Assumptions'!$B79</f>
        <v>40000</v>
      </c>
      <c r="N99" s="156">
        <f>SUM(B99:M99)</f>
        <v>480000</v>
      </c>
      <c r="O99" s="65">
        <f>$M99*(1+'FSS Phase 1 Assumptions'!$D79)</f>
        <v>42000</v>
      </c>
      <c r="P99" s="65">
        <f>$M99*(1+'FSS Phase 1 Assumptions'!$D79)</f>
        <v>42000</v>
      </c>
      <c r="Q99" s="65">
        <f>$M99*(1+'FSS Phase 1 Assumptions'!$D79)</f>
        <v>42000</v>
      </c>
      <c r="R99" s="65">
        <f>$M99*(1+'FSS Phase 1 Assumptions'!$D79)</f>
        <v>42000</v>
      </c>
      <c r="S99" s="65">
        <f>$M99*(1+'FSS Phase 1 Assumptions'!$D79)</f>
        <v>42000</v>
      </c>
      <c r="T99" s="65">
        <f>$M99*(1+'FSS Phase 1 Assumptions'!$D79)</f>
        <v>42000</v>
      </c>
      <c r="U99" s="65">
        <f>$M99*(1+'FSS Phase 1 Assumptions'!$D79)</f>
        <v>42000</v>
      </c>
      <c r="V99" s="65">
        <f>$M99*(1+'FSS Phase 1 Assumptions'!$D79)</f>
        <v>42000</v>
      </c>
      <c r="W99" s="65">
        <f>$M99*(1+'FSS Phase 1 Assumptions'!$D79)</f>
        <v>42000</v>
      </c>
      <c r="X99" s="65">
        <f>$M99*(1+'FSS Phase 1 Assumptions'!$D79)</f>
        <v>42000</v>
      </c>
      <c r="Y99" s="65">
        <f>$M99*(1+'FSS Phase 1 Assumptions'!$D79)</f>
        <v>42000</v>
      </c>
      <c r="Z99" s="65">
        <f>$M99*(1+'FSS Phase 1 Assumptions'!$D79)</f>
        <v>42000</v>
      </c>
      <c r="AA99" s="59">
        <f t="shared" ref="AA99:AA102" si="53">SUM(O99:Z99)</f>
        <v>504000</v>
      </c>
      <c r="AB99" s="172">
        <f>AA99*(1+'FSS Phase 1 Assumptions'!E79)</f>
        <v>529200</v>
      </c>
      <c r="AC99" s="172">
        <f>AB99*(1+'FSS Phase 1 Assumptions'!F79)</f>
        <v>555660</v>
      </c>
      <c r="AD99" s="172">
        <f>AC99*(1+'FSS Phase 1 Assumptions'!G79)</f>
        <v>583443</v>
      </c>
    </row>
    <row r="100" spans="1:30" x14ac:dyDescent="0.2">
      <c r="A100" s="76" t="s">
        <v>210</v>
      </c>
      <c r="B100" s="65">
        <f>'FSS Phase 1 Assumptions'!$B80</f>
        <v>8333</v>
      </c>
      <c r="C100" s="65">
        <f>'FSS Phase 1 Assumptions'!$B80</f>
        <v>8333</v>
      </c>
      <c r="D100" s="65">
        <f>'FSS Phase 1 Assumptions'!$B80</f>
        <v>8333</v>
      </c>
      <c r="E100" s="65">
        <f>'FSS Phase 1 Assumptions'!$B80</f>
        <v>8333</v>
      </c>
      <c r="F100" s="65">
        <f>'FSS Phase 1 Assumptions'!$B80</f>
        <v>8333</v>
      </c>
      <c r="G100" s="65">
        <f>'FSS Phase 1 Assumptions'!$B80</f>
        <v>8333</v>
      </c>
      <c r="H100" s="65">
        <f>'FSS Phase 1 Assumptions'!$B80</f>
        <v>8333</v>
      </c>
      <c r="I100" s="65">
        <f>'FSS Phase 1 Assumptions'!$B80</f>
        <v>8333</v>
      </c>
      <c r="J100" s="65">
        <f>'FSS Phase 1 Assumptions'!$B80</f>
        <v>8333</v>
      </c>
      <c r="K100" s="65">
        <f>'FSS Phase 1 Assumptions'!$B80</f>
        <v>8333</v>
      </c>
      <c r="L100" s="65">
        <f>'FSS Phase 1 Assumptions'!$B80</f>
        <v>8333</v>
      </c>
      <c r="M100" s="65">
        <f>'FSS Phase 1 Assumptions'!$B80</f>
        <v>8333</v>
      </c>
      <c r="N100" s="156">
        <f>SUM(B100:M100)</f>
        <v>99996</v>
      </c>
      <c r="O100" s="65">
        <f>$M100*(1+'FSS Phase 1 Assumptions'!$D80)</f>
        <v>8749.65</v>
      </c>
      <c r="P100" s="65">
        <f>$M100*(1+'FSS Phase 1 Assumptions'!$D80)</f>
        <v>8749.65</v>
      </c>
      <c r="Q100" s="65">
        <f>$M100*(1+'FSS Phase 1 Assumptions'!$D80)</f>
        <v>8749.65</v>
      </c>
      <c r="R100" s="65">
        <f>$M100*(1+'FSS Phase 1 Assumptions'!$D80)</f>
        <v>8749.65</v>
      </c>
      <c r="S100" s="65">
        <f>$M100*(1+'FSS Phase 1 Assumptions'!$D80)</f>
        <v>8749.65</v>
      </c>
      <c r="T100" s="65">
        <f>$M100*(1+'FSS Phase 1 Assumptions'!$D80)</f>
        <v>8749.65</v>
      </c>
      <c r="U100" s="65">
        <f>$M100*(1+'FSS Phase 1 Assumptions'!$D80)</f>
        <v>8749.65</v>
      </c>
      <c r="V100" s="65">
        <f>$M100*(1+'FSS Phase 1 Assumptions'!$D80)</f>
        <v>8749.65</v>
      </c>
      <c r="W100" s="65">
        <f>$M100*(1+'FSS Phase 1 Assumptions'!$D80)</f>
        <v>8749.65</v>
      </c>
      <c r="X100" s="65">
        <f>$M100*(1+'FSS Phase 1 Assumptions'!$D80)</f>
        <v>8749.65</v>
      </c>
      <c r="Y100" s="65">
        <f>$M100*(1+'FSS Phase 1 Assumptions'!$D80)</f>
        <v>8749.65</v>
      </c>
      <c r="Z100" s="65">
        <f>$M100*(1+'FSS Phase 1 Assumptions'!$D80)</f>
        <v>8749.65</v>
      </c>
      <c r="AA100" s="59">
        <f t="shared" si="53"/>
        <v>104995.79999999997</v>
      </c>
      <c r="AB100" s="172">
        <f>AA100*(1+'FSS Phase 1 Assumptions'!E80)</f>
        <v>110245.58999999998</v>
      </c>
      <c r="AC100" s="172">
        <f>AB100*(1+'FSS Phase 1 Assumptions'!F80)</f>
        <v>115757.86949999999</v>
      </c>
      <c r="AD100" s="172">
        <f>AC100*(1+'FSS Phase 1 Assumptions'!G80)</f>
        <v>121545.76297499999</v>
      </c>
    </row>
    <row r="101" spans="1:30" x14ac:dyDescent="0.2">
      <c r="A101" s="76" t="s">
        <v>211</v>
      </c>
      <c r="B101" s="65">
        <f>'FSS Phase 1 Assumptions'!$B81</f>
        <v>3000</v>
      </c>
      <c r="C101" s="65">
        <f>'FSS Phase 1 Assumptions'!$B81</f>
        <v>3000</v>
      </c>
      <c r="D101" s="65">
        <f>'FSS Phase 1 Assumptions'!$B81</f>
        <v>3000</v>
      </c>
      <c r="E101" s="65">
        <f>'FSS Phase 1 Assumptions'!$B81</f>
        <v>3000</v>
      </c>
      <c r="F101" s="65">
        <f>'FSS Phase 1 Assumptions'!$B81</f>
        <v>3000</v>
      </c>
      <c r="G101" s="65">
        <f>'FSS Phase 1 Assumptions'!$B81</f>
        <v>3000</v>
      </c>
      <c r="H101" s="65">
        <f>'FSS Phase 1 Assumptions'!$B81</f>
        <v>3000</v>
      </c>
      <c r="I101" s="65">
        <f>'FSS Phase 1 Assumptions'!$B81</f>
        <v>3000</v>
      </c>
      <c r="J101" s="65">
        <f>'FSS Phase 1 Assumptions'!$B81</f>
        <v>3000</v>
      </c>
      <c r="K101" s="65">
        <f>'FSS Phase 1 Assumptions'!$B81</f>
        <v>3000</v>
      </c>
      <c r="L101" s="65">
        <f>'FSS Phase 1 Assumptions'!$B81</f>
        <v>3000</v>
      </c>
      <c r="M101" s="65">
        <f>'FSS Phase 1 Assumptions'!$B81</f>
        <v>3000</v>
      </c>
      <c r="N101" s="156">
        <f>SUM(B101:M101)</f>
        <v>36000</v>
      </c>
      <c r="O101" s="65">
        <f>$M101*(1+'FSS Phase 1 Assumptions'!$D81)</f>
        <v>3150</v>
      </c>
      <c r="P101" s="65">
        <f>$M101*(1+'FSS Phase 1 Assumptions'!$D81)</f>
        <v>3150</v>
      </c>
      <c r="Q101" s="65">
        <f>$M101*(1+'FSS Phase 1 Assumptions'!$D81)</f>
        <v>3150</v>
      </c>
      <c r="R101" s="65">
        <f>$M101*(1+'FSS Phase 1 Assumptions'!$D81)</f>
        <v>3150</v>
      </c>
      <c r="S101" s="65">
        <f>$M101*(1+'FSS Phase 1 Assumptions'!$D81)</f>
        <v>3150</v>
      </c>
      <c r="T101" s="65">
        <f>$M101*(1+'FSS Phase 1 Assumptions'!$D81)</f>
        <v>3150</v>
      </c>
      <c r="U101" s="65">
        <f>$M101*(1+'FSS Phase 1 Assumptions'!$D81)</f>
        <v>3150</v>
      </c>
      <c r="V101" s="65">
        <f>$M101*(1+'FSS Phase 1 Assumptions'!$D81)</f>
        <v>3150</v>
      </c>
      <c r="W101" s="65">
        <f>$M101*(1+'FSS Phase 1 Assumptions'!$D81)</f>
        <v>3150</v>
      </c>
      <c r="X101" s="65">
        <f>$M101*(1+'FSS Phase 1 Assumptions'!$D81)</f>
        <v>3150</v>
      </c>
      <c r="Y101" s="65">
        <f>$M101*(1+'FSS Phase 1 Assumptions'!$D81)</f>
        <v>3150</v>
      </c>
      <c r="Z101" s="65">
        <f>$M101*(1+'FSS Phase 1 Assumptions'!$D81)</f>
        <v>3150</v>
      </c>
      <c r="AA101" s="59">
        <f t="shared" si="53"/>
        <v>37800</v>
      </c>
      <c r="AB101" s="172">
        <f>AA101*(1+'FSS Phase 1 Assumptions'!E81)</f>
        <v>39690</v>
      </c>
      <c r="AC101" s="172">
        <f>AB101*(1+'FSS Phase 1 Assumptions'!F81)</f>
        <v>41674.5</v>
      </c>
      <c r="AD101" s="172">
        <f>AC101*(1+'FSS Phase 1 Assumptions'!G81)</f>
        <v>43758.224999999999</v>
      </c>
    </row>
    <row r="102" spans="1:30" x14ac:dyDescent="0.2">
      <c r="A102" s="76" t="s">
        <v>521</v>
      </c>
      <c r="B102" s="65">
        <f>'FSS Phase 1 Assumptions'!$B82</f>
        <v>10000</v>
      </c>
      <c r="C102" s="65">
        <f>'FSS Phase 1 Assumptions'!$B82</f>
        <v>10000</v>
      </c>
      <c r="D102" s="65">
        <f>'FSS Phase 1 Assumptions'!$B82</f>
        <v>10000</v>
      </c>
      <c r="E102" s="65">
        <f>'FSS Phase 1 Assumptions'!$B82</f>
        <v>10000</v>
      </c>
      <c r="F102" s="65">
        <f>'FSS Phase 1 Assumptions'!$B82</f>
        <v>10000</v>
      </c>
      <c r="G102" s="65">
        <f>'FSS Phase 1 Assumptions'!$B82</f>
        <v>10000</v>
      </c>
      <c r="H102" s="65">
        <f>'FSS Phase 1 Assumptions'!$B82</f>
        <v>10000</v>
      </c>
      <c r="I102" s="65">
        <f>'FSS Phase 1 Assumptions'!$B82</f>
        <v>10000</v>
      </c>
      <c r="J102" s="65">
        <f>'FSS Phase 1 Assumptions'!$B82</f>
        <v>10000</v>
      </c>
      <c r="K102" s="65">
        <f>'FSS Phase 1 Assumptions'!$B82</f>
        <v>10000</v>
      </c>
      <c r="L102" s="65">
        <f>'FSS Phase 1 Assumptions'!$B82</f>
        <v>10000</v>
      </c>
      <c r="M102" s="65">
        <f>'FSS Phase 1 Assumptions'!$B82</f>
        <v>10000</v>
      </c>
      <c r="N102" s="158">
        <f>SUM(B102:M102)</f>
        <v>120000</v>
      </c>
      <c r="O102" s="65">
        <f>$M102*(1+'FSS Phase 1 Assumptions'!$D82)</f>
        <v>10500</v>
      </c>
      <c r="P102" s="65">
        <f>$M102*(1+'FSS Phase 1 Assumptions'!$D82)</f>
        <v>10500</v>
      </c>
      <c r="Q102" s="65">
        <f>$M102*(1+'FSS Phase 1 Assumptions'!$D82)</f>
        <v>10500</v>
      </c>
      <c r="R102" s="65">
        <f>$M102*(1+'FSS Phase 1 Assumptions'!$D82)</f>
        <v>10500</v>
      </c>
      <c r="S102" s="65">
        <f>$M102*(1+'FSS Phase 1 Assumptions'!$D82)</f>
        <v>10500</v>
      </c>
      <c r="T102" s="65">
        <f>$M102*(1+'FSS Phase 1 Assumptions'!$D82)</f>
        <v>10500</v>
      </c>
      <c r="U102" s="65">
        <f>$M102*(1+'FSS Phase 1 Assumptions'!$D82)</f>
        <v>10500</v>
      </c>
      <c r="V102" s="65">
        <f>$M102*(1+'FSS Phase 1 Assumptions'!$D82)</f>
        <v>10500</v>
      </c>
      <c r="W102" s="65">
        <f>$M102*(1+'FSS Phase 1 Assumptions'!$D82)</f>
        <v>10500</v>
      </c>
      <c r="X102" s="65">
        <f>$M102*(1+'FSS Phase 1 Assumptions'!$D82)</f>
        <v>10500</v>
      </c>
      <c r="Y102" s="65">
        <f>$M102*(1+'FSS Phase 1 Assumptions'!$D82)</f>
        <v>10500</v>
      </c>
      <c r="Z102" s="65">
        <f>$M102*(1+'FSS Phase 1 Assumptions'!$D82)</f>
        <v>10500</v>
      </c>
      <c r="AA102" s="59">
        <f t="shared" si="53"/>
        <v>126000</v>
      </c>
      <c r="AB102" s="172">
        <f>AA102*(1+'FSS Phase 1 Assumptions'!E82)</f>
        <v>132300</v>
      </c>
      <c r="AC102" s="172">
        <f>AB102*(1+'FSS Phase 1 Assumptions'!F82)</f>
        <v>138915</v>
      </c>
      <c r="AD102" s="172">
        <f>AC102*(1+'FSS Phase 1 Assumptions'!G82)</f>
        <v>145860.75</v>
      </c>
    </row>
    <row r="103" spans="1:30" x14ac:dyDescent="0.2">
      <c r="A103" s="76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158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132"/>
      <c r="AB103" s="172"/>
      <c r="AC103" s="172"/>
      <c r="AD103" s="172"/>
    </row>
    <row r="104" spans="1:30" s="80" customFormat="1" collapsed="1" x14ac:dyDescent="0.2">
      <c r="A104" s="90" t="s">
        <v>103</v>
      </c>
      <c r="B104" s="85">
        <f t="shared" ref="B104:AD104" si="54">SUM(B99:B102)</f>
        <v>61333</v>
      </c>
      <c r="C104" s="85">
        <f t="shared" si="54"/>
        <v>61333</v>
      </c>
      <c r="D104" s="85">
        <f t="shared" si="54"/>
        <v>61333</v>
      </c>
      <c r="E104" s="85">
        <f t="shared" si="54"/>
        <v>61333</v>
      </c>
      <c r="F104" s="85">
        <f t="shared" si="54"/>
        <v>61333</v>
      </c>
      <c r="G104" s="85">
        <f t="shared" si="54"/>
        <v>61333</v>
      </c>
      <c r="H104" s="85">
        <f t="shared" si="54"/>
        <v>61333</v>
      </c>
      <c r="I104" s="85">
        <f t="shared" si="54"/>
        <v>61333</v>
      </c>
      <c r="J104" s="85">
        <f t="shared" si="54"/>
        <v>61333</v>
      </c>
      <c r="K104" s="85">
        <f t="shared" si="54"/>
        <v>61333</v>
      </c>
      <c r="L104" s="85">
        <f t="shared" si="54"/>
        <v>61333</v>
      </c>
      <c r="M104" s="85">
        <f t="shared" si="54"/>
        <v>61333</v>
      </c>
      <c r="N104" s="85">
        <f t="shared" si="54"/>
        <v>735996</v>
      </c>
      <c r="O104" s="85">
        <f t="shared" si="54"/>
        <v>64399.65</v>
      </c>
      <c r="P104" s="85">
        <f t="shared" si="54"/>
        <v>64399.65</v>
      </c>
      <c r="Q104" s="85">
        <f t="shared" si="54"/>
        <v>64399.65</v>
      </c>
      <c r="R104" s="85">
        <f t="shared" si="54"/>
        <v>64399.65</v>
      </c>
      <c r="S104" s="85">
        <f t="shared" si="54"/>
        <v>64399.65</v>
      </c>
      <c r="T104" s="85">
        <f t="shared" si="54"/>
        <v>64399.65</v>
      </c>
      <c r="U104" s="85">
        <f t="shared" si="54"/>
        <v>64399.65</v>
      </c>
      <c r="V104" s="85">
        <f t="shared" si="54"/>
        <v>64399.65</v>
      </c>
      <c r="W104" s="85">
        <f t="shared" si="54"/>
        <v>64399.65</v>
      </c>
      <c r="X104" s="85">
        <f t="shared" si="54"/>
        <v>64399.65</v>
      </c>
      <c r="Y104" s="85">
        <f t="shared" si="54"/>
        <v>64399.65</v>
      </c>
      <c r="Z104" s="85">
        <f t="shared" si="54"/>
        <v>64399.65</v>
      </c>
      <c r="AA104" s="85">
        <f t="shared" si="54"/>
        <v>772795.79999999993</v>
      </c>
      <c r="AB104" s="85">
        <f t="shared" si="54"/>
        <v>811435.59</v>
      </c>
      <c r="AC104" s="85">
        <f t="shared" si="54"/>
        <v>852007.36950000003</v>
      </c>
      <c r="AD104" s="85">
        <f t="shared" si="54"/>
        <v>894607.73797499994</v>
      </c>
    </row>
    <row r="105" spans="1:30" s="80" customFormat="1" x14ac:dyDescent="0.2">
      <c r="A105" s="90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</row>
    <row r="106" spans="1:30" s="80" customFormat="1" x14ac:dyDescent="0.2">
      <c r="A106" s="74" t="s">
        <v>403</v>
      </c>
      <c r="B106" s="194"/>
      <c r="C106" s="194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</row>
    <row r="107" spans="1:30" s="80" customFormat="1" x14ac:dyDescent="0.2">
      <c r="A107" s="76" t="s">
        <v>419</v>
      </c>
      <c r="B107" s="65">
        <f>B20*'FSS Phase 1 Assumptions'!$B$34</f>
        <v>0</v>
      </c>
      <c r="C107" s="65">
        <f>C20*'FSS Phase 1 Assumptions'!$B$34</f>
        <v>0</v>
      </c>
      <c r="D107" s="65">
        <f>D20*'FSS Phase 1 Assumptions'!$B$34</f>
        <v>42954</v>
      </c>
      <c r="E107" s="65">
        <f>E20*'FSS Phase 1 Assumptions'!$B$34</f>
        <v>85908</v>
      </c>
      <c r="F107" s="65">
        <f>F20*'FSS Phase 1 Assumptions'!$B$34</f>
        <v>128862</v>
      </c>
      <c r="G107" s="65">
        <f>G20*'FSS Phase 1 Assumptions'!$B$34</f>
        <v>171816</v>
      </c>
      <c r="H107" s="65">
        <f>H20*'FSS Phase 1 Assumptions'!$B$34</f>
        <v>214770</v>
      </c>
      <c r="I107" s="65">
        <f>I20*'FSS Phase 1 Assumptions'!$B$34</f>
        <v>257724</v>
      </c>
      <c r="J107" s="65">
        <f>J20*'FSS Phase 1 Assumptions'!$B$34</f>
        <v>300678</v>
      </c>
      <c r="K107" s="65">
        <f>K20*'FSS Phase 1 Assumptions'!$B$34</f>
        <v>343632</v>
      </c>
      <c r="L107" s="65">
        <f>L20*'FSS Phase 1 Assumptions'!$B$34</f>
        <v>386586</v>
      </c>
      <c r="M107" s="65">
        <f>M20*'FSS Phase 1 Assumptions'!$B$34</f>
        <v>386586</v>
      </c>
      <c r="N107" s="156">
        <f>SUM(B107:M107)</f>
        <v>2319516</v>
      </c>
      <c r="O107" s="65">
        <f>O20*'FSS Phase 1 Assumptions'!$B$34</f>
        <v>386586</v>
      </c>
      <c r="P107" s="65">
        <f>P20*'FSS Phase 1 Assumptions'!$B$34</f>
        <v>386586</v>
      </c>
      <c r="Q107" s="65">
        <f>Q20*'FSS Phase 1 Assumptions'!$B$34</f>
        <v>386586</v>
      </c>
      <c r="R107" s="65">
        <f>R20*'FSS Phase 1 Assumptions'!$B$34</f>
        <v>386586</v>
      </c>
      <c r="S107" s="65">
        <f>S20*'FSS Phase 1 Assumptions'!$B$34</f>
        <v>386586</v>
      </c>
      <c r="T107" s="65">
        <f>T20*'FSS Phase 1 Assumptions'!$B$34</f>
        <v>386586</v>
      </c>
      <c r="U107" s="65">
        <f>U20*'FSS Phase 1 Assumptions'!$B$34</f>
        <v>386586</v>
      </c>
      <c r="V107" s="65">
        <f>V20*'FSS Phase 1 Assumptions'!$B$34</f>
        <v>386586</v>
      </c>
      <c r="W107" s="65">
        <f>W20*'FSS Phase 1 Assumptions'!$B$34</f>
        <v>386586</v>
      </c>
      <c r="X107" s="65">
        <f>X20*'FSS Phase 1 Assumptions'!$B$34</f>
        <v>386586</v>
      </c>
      <c r="Y107" s="65">
        <f>Y20*'FSS Phase 1 Assumptions'!$B$34</f>
        <v>386586</v>
      </c>
      <c r="Z107" s="65">
        <f>Z20*'FSS Phase 1 Assumptions'!$B$34</f>
        <v>386586</v>
      </c>
      <c r="AA107" s="59">
        <f>SUM(O107:Z107)</f>
        <v>4639032</v>
      </c>
      <c r="AB107" s="172">
        <f>AB20*'FSS Phase 1 Assumptions'!$B$34</f>
        <v>4778202.96</v>
      </c>
      <c r="AC107" s="172">
        <f>AC20*'FSS Phase 1 Assumptions'!$B$34</f>
        <v>4799027.0879999995</v>
      </c>
      <c r="AD107" s="172">
        <f>AD20*'FSS Phase 1 Assumptions'!$B$34</f>
        <v>4942997.9006399997</v>
      </c>
    </row>
    <row r="108" spans="1:30" s="80" customFormat="1" x14ac:dyDescent="0.2">
      <c r="A108" s="76" t="s">
        <v>404</v>
      </c>
      <c r="B108" s="65">
        <f>'FSS Phase 1 Assumptions'!$B85</f>
        <v>5000</v>
      </c>
      <c r="C108" s="65">
        <f>'FSS Phase 1 Assumptions'!$B85</f>
        <v>5000</v>
      </c>
      <c r="D108" s="65">
        <f>'FSS Phase 1 Assumptions'!$B85</f>
        <v>5000</v>
      </c>
      <c r="E108" s="65">
        <f>'FSS Phase 1 Assumptions'!$B85</f>
        <v>5000</v>
      </c>
      <c r="F108" s="65">
        <f>'FSS Phase 1 Assumptions'!$B85</f>
        <v>5000</v>
      </c>
      <c r="G108" s="65">
        <f>'FSS Phase 1 Assumptions'!$B85</f>
        <v>5000</v>
      </c>
      <c r="H108" s="65">
        <f>'FSS Phase 1 Assumptions'!$B85</f>
        <v>5000</v>
      </c>
      <c r="I108" s="65">
        <f>'FSS Phase 1 Assumptions'!$B85</f>
        <v>5000</v>
      </c>
      <c r="J108" s="65">
        <f>'FSS Phase 1 Assumptions'!$B85</f>
        <v>5000</v>
      </c>
      <c r="K108" s="65">
        <f>'FSS Phase 1 Assumptions'!$B85</f>
        <v>5000</v>
      </c>
      <c r="L108" s="65">
        <f>'FSS Phase 1 Assumptions'!$B85</f>
        <v>5000</v>
      </c>
      <c r="M108" s="65">
        <f>'FSS Phase 1 Assumptions'!$B85</f>
        <v>5000</v>
      </c>
      <c r="N108" s="156">
        <f>SUM(B108:M108)</f>
        <v>60000</v>
      </c>
      <c r="O108" s="65">
        <f>$M108*(1+'FSS Phase 1 Assumptions'!$D85)</f>
        <v>5250</v>
      </c>
      <c r="P108" s="65">
        <f>$M108*(1+'FSS Phase 1 Assumptions'!$D85)</f>
        <v>5250</v>
      </c>
      <c r="Q108" s="65">
        <f>$M108*(1+'FSS Phase 1 Assumptions'!$D85)</f>
        <v>5250</v>
      </c>
      <c r="R108" s="65">
        <f>$M108*(1+'FSS Phase 1 Assumptions'!$D85)</f>
        <v>5250</v>
      </c>
      <c r="S108" s="65">
        <f>$M108*(1+'FSS Phase 1 Assumptions'!$D85)</f>
        <v>5250</v>
      </c>
      <c r="T108" s="65">
        <f>$M108*(1+'FSS Phase 1 Assumptions'!$D85)</f>
        <v>5250</v>
      </c>
      <c r="U108" s="65">
        <f>$M108*(1+'FSS Phase 1 Assumptions'!$D85)</f>
        <v>5250</v>
      </c>
      <c r="V108" s="65">
        <f>$M108*(1+'FSS Phase 1 Assumptions'!$D85)</f>
        <v>5250</v>
      </c>
      <c r="W108" s="65">
        <f>$M108*(1+'FSS Phase 1 Assumptions'!$D85)</f>
        <v>5250</v>
      </c>
      <c r="X108" s="65">
        <f>$M108*(1+'FSS Phase 1 Assumptions'!$D85)</f>
        <v>5250</v>
      </c>
      <c r="Y108" s="65">
        <f>$M108*(1+'FSS Phase 1 Assumptions'!$D85)</f>
        <v>5250</v>
      </c>
      <c r="Z108" s="65">
        <f>$M108*(1+'FSS Phase 1 Assumptions'!$D85)</f>
        <v>5250</v>
      </c>
      <c r="AA108" s="59">
        <f>SUM(O108:Z108)</f>
        <v>63000</v>
      </c>
      <c r="AB108" s="172">
        <f>AA108*(1+'FSS Phase 1 Assumptions'!E85)</f>
        <v>66150</v>
      </c>
      <c r="AC108" s="172">
        <f>AB108*(1+'FSS Phase 1 Assumptions'!F85)</f>
        <v>69457.5</v>
      </c>
      <c r="AD108" s="172">
        <f>AC108*(1+'FSS Phase 1 Assumptions'!G85)</f>
        <v>72930.375</v>
      </c>
    </row>
    <row r="109" spans="1:30" x14ac:dyDescent="0.2">
      <c r="A109" s="76" t="s">
        <v>232</v>
      </c>
      <c r="B109" s="65">
        <f>'FSS Phase 1 Assumptions'!$B86</f>
        <v>25000</v>
      </c>
      <c r="C109" s="65">
        <f>'FSS Phase 1 Assumptions'!$B86</f>
        <v>25000</v>
      </c>
      <c r="D109" s="65">
        <f>'FSS Phase 1 Assumptions'!$B86</f>
        <v>25000</v>
      </c>
      <c r="E109" s="65">
        <f>'FSS Phase 1 Assumptions'!$B86</f>
        <v>25000</v>
      </c>
      <c r="F109" s="65">
        <f>'FSS Phase 1 Assumptions'!$B86</f>
        <v>25000</v>
      </c>
      <c r="G109" s="65">
        <f>'FSS Phase 1 Assumptions'!$B86</f>
        <v>25000</v>
      </c>
      <c r="H109" s="65">
        <f>'FSS Phase 1 Assumptions'!$B86</f>
        <v>25000</v>
      </c>
      <c r="I109" s="65">
        <f>'FSS Phase 1 Assumptions'!$B86</f>
        <v>25000</v>
      </c>
      <c r="J109" s="65">
        <f>'FSS Phase 1 Assumptions'!$B86</f>
        <v>25000</v>
      </c>
      <c r="K109" s="65">
        <f>'FSS Phase 1 Assumptions'!$B86</f>
        <v>25000</v>
      </c>
      <c r="L109" s="65">
        <f>'FSS Phase 1 Assumptions'!$B86</f>
        <v>25000</v>
      </c>
      <c r="M109" s="65">
        <f>'FSS Phase 1 Assumptions'!$B86</f>
        <v>25000</v>
      </c>
      <c r="N109" s="156">
        <f>SUM(B109:M109)</f>
        <v>300000</v>
      </c>
      <c r="O109" s="65">
        <f>$M109*(1+'FSS Phase 1 Assumptions'!$D86)</f>
        <v>25750</v>
      </c>
      <c r="P109" s="65">
        <f>$M109*(1+'FSS Phase 1 Assumptions'!$D86)</f>
        <v>25750</v>
      </c>
      <c r="Q109" s="65">
        <f>$M109*(1+'FSS Phase 1 Assumptions'!$D86)</f>
        <v>25750</v>
      </c>
      <c r="R109" s="65">
        <f>$M109*(1+'FSS Phase 1 Assumptions'!$D86)</f>
        <v>25750</v>
      </c>
      <c r="S109" s="65">
        <f>$M109*(1+'FSS Phase 1 Assumptions'!$D86)</f>
        <v>25750</v>
      </c>
      <c r="T109" s="65">
        <f>$M109*(1+'FSS Phase 1 Assumptions'!$D86)</f>
        <v>25750</v>
      </c>
      <c r="U109" s="65">
        <f>$M109*(1+'FSS Phase 1 Assumptions'!$D86)</f>
        <v>25750</v>
      </c>
      <c r="V109" s="65">
        <f>$M109*(1+'FSS Phase 1 Assumptions'!$D86)</f>
        <v>25750</v>
      </c>
      <c r="W109" s="65">
        <f>$M109*(1+'FSS Phase 1 Assumptions'!$D86)</f>
        <v>25750</v>
      </c>
      <c r="X109" s="65">
        <f>$M109*(1+'FSS Phase 1 Assumptions'!$D86)</f>
        <v>25750</v>
      </c>
      <c r="Y109" s="65">
        <f>$M109*(1+'FSS Phase 1 Assumptions'!$D86)</f>
        <v>25750</v>
      </c>
      <c r="Z109" s="65">
        <f>$M109*(1+'FSS Phase 1 Assumptions'!$D86)</f>
        <v>25750</v>
      </c>
      <c r="AA109" s="59">
        <f>SUM(O109:Z109)</f>
        <v>309000</v>
      </c>
      <c r="AB109" s="172">
        <f>AA109*(1+'FSS Phase 1 Assumptions'!E86)</f>
        <v>318270</v>
      </c>
      <c r="AC109" s="172">
        <f>AB109*(1+'FSS Phase 1 Assumptions'!F86)</f>
        <v>327818.10000000003</v>
      </c>
      <c r="AD109" s="172">
        <f>AC109*(1+'FSS Phase 1 Assumptions'!G86)</f>
        <v>337652.64300000004</v>
      </c>
    </row>
    <row r="110" spans="1:30" x14ac:dyDescent="0.2">
      <c r="A110" s="76" t="s">
        <v>241</v>
      </c>
      <c r="B110" s="65">
        <f>'FSS Phase 1 Assumptions'!$B87</f>
        <v>10000</v>
      </c>
      <c r="C110" s="65">
        <f>'FSS Phase 1 Assumptions'!$B87</f>
        <v>10000</v>
      </c>
      <c r="D110" s="65">
        <f>'FSS Phase 1 Assumptions'!$B87</f>
        <v>10000</v>
      </c>
      <c r="E110" s="65">
        <f>'FSS Phase 1 Assumptions'!$B87</f>
        <v>10000</v>
      </c>
      <c r="F110" s="65">
        <f>'FSS Phase 1 Assumptions'!$B87</f>
        <v>10000</v>
      </c>
      <c r="G110" s="65">
        <f>'FSS Phase 1 Assumptions'!$B87</f>
        <v>10000</v>
      </c>
      <c r="H110" s="65">
        <f>'FSS Phase 1 Assumptions'!$B87</f>
        <v>10000</v>
      </c>
      <c r="I110" s="65">
        <f>'FSS Phase 1 Assumptions'!$B87</f>
        <v>10000</v>
      </c>
      <c r="J110" s="65">
        <f>'FSS Phase 1 Assumptions'!$B87</f>
        <v>10000</v>
      </c>
      <c r="K110" s="65">
        <f>'FSS Phase 1 Assumptions'!$B87</f>
        <v>10000</v>
      </c>
      <c r="L110" s="65">
        <f>'FSS Phase 1 Assumptions'!$B87</f>
        <v>10000</v>
      </c>
      <c r="M110" s="65">
        <f>'FSS Phase 1 Assumptions'!$B87</f>
        <v>10000</v>
      </c>
      <c r="N110" s="156">
        <f>SUM(B110:M110)</f>
        <v>120000</v>
      </c>
      <c r="O110" s="65">
        <f>$M110*(1+'FSS Phase 1 Assumptions'!$D87)</f>
        <v>10300</v>
      </c>
      <c r="P110" s="65">
        <f>$M110*(1+'FSS Phase 1 Assumptions'!$D87)</f>
        <v>10300</v>
      </c>
      <c r="Q110" s="65">
        <f>$M110*(1+'FSS Phase 1 Assumptions'!$D87)</f>
        <v>10300</v>
      </c>
      <c r="R110" s="65">
        <f>$M110*(1+'FSS Phase 1 Assumptions'!$D87)</f>
        <v>10300</v>
      </c>
      <c r="S110" s="65">
        <f>$M110*(1+'FSS Phase 1 Assumptions'!$D87)</f>
        <v>10300</v>
      </c>
      <c r="T110" s="65">
        <f>$M110*(1+'FSS Phase 1 Assumptions'!$D87)</f>
        <v>10300</v>
      </c>
      <c r="U110" s="65">
        <f>$M110*(1+'FSS Phase 1 Assumptions'!$D87)</f>
        <v>10300</v>
      </c>
      <c r="V110" s="65">
        <f>$M110*(1+'FSS Phase 1 Assumptions'!$D87)</f>
        <v>10300</v>
      </c>
      <c r="W110" s="65">
        <f>$M110*(1+'FSS Phase 1 Assumptions'!$D87)</f>
        <v>10300</v>
      </c>
      <c r="X110" s="65">
        <f>$M110*(1+'FSS Phase 1 Assumptions'!$D87)</f>
        <v>10300</v>
      </c>
      <c r="Y110" s="65">
        <f>$M110*(1+'FSS Phase 1 Assumptions'!$D87)</f>
        <v>10300</v>
      </c>
      <c r="Z110" s="65">
        <f>$M110*(1+'FSS Phase 1 Assumptions'!$D87)</f>
        <v>10300</v>
      </c>
      <c r="AA110" s="59">
        <f>SUM(O110:Z110)</f>
        <v>123600</v>
      </c>
      <c r="AB110" s="172">
        <f>AA110*(1+'FSS Phase 1 Assumptions'!E87)</f>
        <v>127308</v>
      </c>
      <c r="AC110" s="172">
        <f>AB110*(1+'FSS Phase 1 Assumptions'!F87)</f>
        <v>131127.24</v>
      </c>
      <c r="AD110" s="172">
        <f>AC110*(1+'FSS Phase 1 Assumptions'!G87)</f>
        <v>135061.05719999998</v>
      </c>
    </row>
    <row r="111" spans="1:30" s="80" customFormat="1" x14ac:dyDescent="0.2">
      <c r="A111" s="76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158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158"/>
      <c r="AB111" s="158"/>
      <c r="AC111" s="158"/>
      <c r="AD111" s="158"/>
    </row>
    <row r="112" spans="1:30" s="80" customFormat="1" x14ac:dyDescent="0.2">
      <c r="A112" s="90" t="s">
        <v>408</v>
      </c>
      <c r="B112" s="85">
        <f t="shared" ref="B112:AD112" si="55">SUM(B106:B111)</f>
        <v>40000</v>
      </c>
      <c r="C112" s="85">
        <f t="shared" si="55"/>
        <v>40000</v>
      </c>
      <c r="D112" s="85">
        <f t="shared" si="55"/>
        <v>82954</v>
      </c>
      <c r="E112" s="85">
        <f t="shared" si="55"/>
        <v>125908</v>
      </c>
      <c r="F112" s="85">
        <f t="shared" si="55"/>
        <v>168862</v>
      </c>
      <c r="G112" s="85">
        <f t="shared" si="55"/>
        <v>211816</v>
      </c>
      <c r="H112" s="85">
        <f t="shared" si="55"/>
        <v>254770</v>
      </c>
      <c r="I112" s="85">
        <f t="shared" si="55"/>
        <v>297724</v>
      </c>
      <c r="J112" s="85">
        <f t="shared" si="55"/>
        <v>340678</v>
      </c>
      <c r="K112" s="85">
        <f t="shared" si="55"/>
        <v>383632</v>
      </c>
      <c r="L112" s="85">
        <f t="shared" si="55"/>
        <v>426586</v>
      </c>
      <c r="M112" s="85">
        <f t="shared" si="55"/>
        <v>426586</v>
      </c>
      <c r="N112" s="85">
        <f t="shared" si="55"/>
        <v>2799516</v>
      </c>
      <c r="O112" s="85">
        <f t="shared" si="55"/>
        <v>427886</v>
      </c>
      <c r="P112" s="85">
        <f t="shared" si="55"/>
        <v>427886</v>
      </c>
      <c r="Q112" s="85">
        <f t="shared" si="55"/>
        <v>427886</v>
      </c>
      <c r="R112" s="85">
        <f t="shared" si="55"/>
        <v>427886</v>
      </c>
      <c r="S112" s="85">
        <f t="shared" si="55"/>
        <v>427886</v>
      </c>
      <c r="T112" s="85">
        <f t="shared" si="55"/>
        <v>427886</v>
      </c>
      <c r="U112" s="85">
        <f t="shared" si="55"/>
        <v>427886</v>
      </c>
      <c r="V112" s="85">
        <f t="shared" si="55"/>
        <v>427886</v>
      </c>
      <c r="W112" s="85">
        <f t="shared" si="55"/>
        <v>427886</v>
      </c>
      <c r="X112" s="85">
        <f t="shared" si="55"/>
        <v>427886</v>
      </c>
      <c r="Y112" s="85">
        <f t="shared" si="55"/>
        <v>427886</v>
      </c>
      <c r="Z112" s="85">
        <f t="shared" si="55"/>
        <v>427886</v>
      </c>
      <c r="AA112" s="85">
        <f t="shared" si="55"/>
        <v>5134632</v>
      </c>
      <c r="AB112" s="85">
        <f t="shared" si="55"/>
        <v>5289930.96</v>
      </c>
      <c r="AC112" s="85">
        <f t="shared" si="55"/>
        <v>5327429.9279999994</v>
      </c>
      <c r="AD112" s="85">
        <f t="shared" si="55"/>
        <v>5488641.9758399995</v>
      </c>
    </row>
    <row r="113" spans="1:30" s="92" customFormat="1" x14ac:dyDescent="0.2">
      <c r="A113" s="91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163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171"/>
      <c r="AC113" s="171"/>
      <c r="AD113" s="171"/>
    </row>
    <row r="114" spans="1:30" x14ac:dyDescent="0.2">
      <c r="A114" s="74" t="s">
        <v>73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162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170"/>
      <c r="AC114" s="170"/>
      <c r="AD114" s="170"/>
    </row>
    <row r="115" spans="1:30" x14ac:dyDescent="0.2">
      <c r="A115" s="76" t="s">
        <v>411</v>
      </c>
      <c r="B115" s="65">
        <f>'FSS Phase 1 Assumptions'!$B90</f>
        <v>5000</v>
      </c>
      <c r="C115" s="65">
        <f>'FSS Phase 1 Assumptions'!$B90</f>
        <v>5000</v>
      </c>
      <c r="D115" s="65">
        <f>'FSS Phase 1 Assumptions'!$B90</f>
        <v>5000</v>
      </c>
      <c r="E115" s="65">
        <f>'FSS Phase 1 Assumptions'!$B90</f>
        <v>5000</v>
      </c>
      <c r="F115" s="65">
        <f>'FSS Phase 1 Assumptions'!$B90</f>
        <v>5000</v>
      </c>
      <c r="G115" s="65">
        <f>'FSS Phase 1 Assumptions'!$B90</f>
        <v>5000</v>
      </c>
      <c r="H115" s="65">
        <f>'FSS Phase 1 Assumptions'!$B90</f>
        <v>5000</v>
      </c>
      <c r="I115" s="65">
        <f>'FSS Phase 1 Assumptions'!$B90</f>
        <v>5000</v>
      </c>
      <c r="J115" s="65">
        <f>'FSS Phase 1 Assumptions'!$B90</f>
        <v>5000</v>
      </c>
      <c r="K115" s="65">
        <f>'FSS Phase 1 Assumptions'!$B90</f>
        <v>5000</v>
      </c>
      <c r="L115" s="65">
        <f>'FSS Phase 1 Assumptions'!$B90</f>
        <v>5000</v>
      </c>
      <c r="M115" s="65">
        <f>'FSS Phase 1 Assumptions'!$B90</f>
        <v>5000</v>
      </c>
      <c r="N115" s="156">
        <f>SUM(B115:M115)</f>
        <v>60000</v>
      </c>
      <c r="O115" s="65">
        <f>$M115*(1+'FSS Phase 1 Assumptions'!$D90)</f>
        <v>5150</v>
      </c>
      <c r="P115" s="65">
        <f>$M115*(1+'FSS Phase 1 Assumptions'!$D90)</f>
        <v>5150</v>
      </c>
      <c r="Q115" s="65">
        <f>$M115*(1+'FSS Phase 1 Assumptions'!$D90)</f>
        <v>5150</v>
      </c>
      <c r="R115" s="65">
        <f>$M115*(1+'FSS Phase 1 Assumptions'!$D90)</f>
        <v>5150</v>
      </c>
      <c r="S115" s="65">
        <f>$M115*(1+'FSS Phase 1 Assumptions'!$D90)</f>
        <v>5150</v>
      </c>
      <c r="T115" s="65">
        <f>$M115*(1+'FSS Phase 1 Assumptions'!$D90)</f>
        <v>5150</v>
      </c>
      <c r="U115" s="65">
        <f>$M115*(1+'FSS Phase 1 Assumptions'!$D90)</f>
        <v>5150</v>
      </c>
      <c r="V115" s="65">
        <f>$M115*(1+'FSS Phase 1 Assumptions'!$D90)</f>
        <v>5150</v>
      </c>
      <c r="W115" s="65">
        <f>$M115*(1+'FSS Phase 1 Assumptions'!$D90)</f>
        <v>5150</v>
      </c>
      <c r="X115" s="65">
        <f>$M115*(1+'FSS Phase 1 Assumptions'!$D90)</f>
        <v>5150</v>
      </c>
      <c r="Y115" s="65">
        <f>$M115*(1+'FSS Phase 1 Assumptions'!$D90)</f>
        <v>5150</v>
      </c>
      <c r="Z115" s="65">
        <f>$M115*(1+'FSS Phase 1 Assumptions'!$D90)</f>
        <v>5150</v>
      </c>
      <c r="AA115" s="59">
        <f t="shared" ref="AA115:AA122" si="56">SUM(O115:Z115)</f>
        <v>61800</v>
      </c>
      <c r="AB115" s="172">
        <f>AA115*(1+'FSS Phase 1 Assumptions'!E90)</f>
        <v>63654</v>
      </c>
      <c r="AC115" s="172">
        <f>AB115*(1+'FSS Phase 1 Assumptions'!F90)</f>
        <v>65563.62</v>
      </c>
      <c r="AD115" s="172">
        <f>AC115*(1+'FSS Phase 1 Assumptions'!G90)</f>
        <v>67530.528599999991</v>
      </c>
    </row>
    <row r="116" spans="1:30" x14ac:dyDescent="0.2">
      <c r="A116" s="77" t="s">
        <v>237</v>
      </c>
      <c r="B116" s="65">
        <f>'FSS Phase 1 Assumptions'!$B91</f>
        <v>9339</v>
      </c>
      <c r="C116" s="65">
        <f>'FSS Phase 1 Assumptions'!$B91</f>
        <v>9339</v>
      </c>
      <c r="D116" s="65">
        <f>'FSS Phase 1 Assumptions'!$B91</f>
        <v>9339</v>
      </c>
      <c r="E116" s="65">
        <f>'FSS Phase 1 Assumptions'!$B91</f>
        <v>9339</v>
      </c>
      <c r="F116" s="65">
        <f>'FSS Phase 1 Assumptions'!$B91</f>
        <v>9339</v>
      </c>
      <c r="G116" s="65">
        <f>'FSS Phase 1 Assumptions'!$B91</f>
        <v>9339</v>
      </c>
      <c r="H116" s="65">
        <f>'FSS Phase 1 Assumptions'!$B91</f>
        <v>9339</v>
      </c>
      <c r="I116" s="65">
        <f>'FSS Phase 1 Assumptions'!$B91</f>
        <v>9339</v>
      </c>
      <c r="J116" s="65">
        <f>'FSS Phase 1 Assumptions'!$B91</f>
        <v>9339</v>
      </c>
      <c r="K116" s="65">
        <f>'FSS Phase 1 Assumptions'!$B91</f>
        <v>9339</v>
      </c>
      <c r="L116" s="65">
        <f>'FSS Phase 1 Assumptions'!$B91</f>
        <v>9339</v>
      </c>
      <c r="M116" s="65">
        <f>'FSS Phase 1 Assumptions'!$B91</f>
        <v>9339</v>
      </c>
      <c r="N116" s="156">
        <f t="shared" ref="N116:N122" si="57">SUM(B116:M116)</f>
        <v>112068</v>
      </c>
      <c r="O116" s="65">
        <f>$M116*(1+'FSS Phase 1 Assumptions'!$D91)</f>
        <v>9619.17</v>
      </c>
      <c r="P116" s="65">
        <f>$M116*(1+'FSS Phase 1 Assumptions'!$D91)</f>
        <v>9619.17</v>
      </c>
      <c r="Q116" s="65">
        <f>$M116*(1+'FSS Phase 1 Assumptions'!$D91)</f>
        <v>9619.17</v>
      </c>
      <c r="R116" s="65">
        <f>$M116*(1+'FSS Phase 1 Assumptions'!$D91)</f>
        <v>9619.17</v>
      </c>
      <c r="S116" s="65">
        <f>$M116*(1+'FSS Phase 1 Assumptions'!$D91)</f>
        <v>9619.17</v>
      </c>
      <c r="T116" s="65">
        <f>$M116*(1+'FSS Phase 1 Assumptions'!$D91)</f>
        <v>9619.17</v>
      </c>
      <c r="U116" s="65">
        <f>$M116*(1+'FSS Phase 1 Assumptions'!$D91)</f>
        <v>9619.17</v>
      </c>
      <c r="V116" s="65">
        <f>$M116*(1+'FSS Phase 1 Assumptions'!$D91)</f>
        <v>9619.17</v>
      </c>
      <c r="W116" s="65">
        <f>$M116*(1+'FSS Phase 1 Assumptions'!$D91)</f>
        <v>9619.17</v>
      </c>
      <c r="X116" s="65">
        <f>$M116*(1+'FSS Phase 1 Assumptions'!$D91)</f>
        <v>9619.17</v>
      </c>
      <c r="Y116" s="65">
        <f>$M116*(1+'FSS Phase 1 Assumptions'!$D91)</f>
        <v>9619.17</v>
      </c>
      <c r="Z116" s="65">
        <f>$M116*(1+'FSS Phase 1 Assumptions'!$D91)</f>
        <v>9619.17</v>
      </c>
      <c r="AA116" s="59">
        <f t="shared" si="56"/>
        <v>115430.04</v>
      </c>
      <c r="AB116" s="172">
        <f>AA116*(1+'FSS Phase 1 Assumptions'!E91)</f>
        <v>118892.9412</v>
      </c>
      <c r="AC116" s="172">
        <f>AB116*(1+'FSS Phase 1 Assumptions'!F91)</f>
        <v>122459.72943600001</v>
      </c>
      <c r="AD116" s="172">
        <f>AC116*(1+'FSS Phase 1 Assumptions'!G91)</f>
        <v>126133.52131908001</v>
      </c>
    </row>
    <row r="117" spans="1:30" x14ac:dyDescent="0.2">
      <c r="A117" s="93" t="s">
        <v>240</v>
      </c>
      <c r="B117" s="65">
        <f>'FSS Phase 1 Assumptions'!$B92</f>
        <v>1000</v>
      </c>
      <c r="C117" s="65">
        <f>'FSS Phase 1 Assumptions'!$B92</f>
        <v>1000</v>
      </c>
      <c r="D117" s="65">
        <f>'FSS Phase 1 Assumptions'!$B92</f>
        <v>1000</v>
      </c>
      <c r="E117" s="65">
        <f>'FSS Phase 1 Assumptions'!$B92</f>
        <v>1000</v>
      </c>
      <c r="F117" s="65">
        <f>'FSS Phase 1 Assumptions'!$B92</f>
        <v>1000</v>
      </c>
      <c r="G117" s="65">
        <f>'FSS Phase 1 Assumptions'!$B92</f>
        <v>1000</v>
      </c>
      <c r="H117" s="65">
        <f>'FSS Phase 1 Assumptions'!$B92</f>
        <v>1000</v>
      </c>
      <c r="I117" s="65">
        <f>'FSS Phase 1 Assumptions'!$B92</f>
        <v>1000</v>
      </c>
      <c r="J117" s="65">
        <f>'FSS Phase 1 Assumptions'!$B92</f>
        <v>1000</v>
      </c>
      <c r="K117" s="65">
        <f>'FSS Phase 1 Assumptions'!$B92</f>
        <v>1000</v>
      </c>
      <c r="L117" s="65">
        <f>'FSS Phase 1 Assumptions'!$B92</f>
        <v>1000</v>
      </c>
      <c r="M117" s="65">
        <f>'FSS Phase 1 Assumptions'!$B92</f>
        <v>1000</v>
      </c>
      <c r="N117" s="156">
        <f t="shared" si="57"/>
        <v>12000</v>
      </c>
      <c r="O117" s="65">
        <f>$M117*(1+'FSS Phase 1 Assumptions'!$D92)</f>
        <v>1030</v>
      </c>
      <c r="P117" s="65">
        <f>$M117*(1+'FSS Phase 1 Assumptions'!$D92)</f>
        <v>1030</v>
      </c>
      <c r="Q117" s="65">
        <f>$M117*(1+'FSS Phase 1 Assumptions'!$D92)</f>
        <v>1030</v>
      </c>
      <c r="R117" s="65">
        <f>$M117*(1+'FSS Phase 1 Assumptions'!$D92)</f>
        <v>1030</v>
      </c>
      <c r="S117" s="65">
        <f>$M117*(1+'FSS Phase 1 Assumptions'!$D92)</f>
        <v>1030</v>
      </c>
      <c r="T117" s="65">
        <f>$M117*(1+'FSS Phase 1 Assumptions'!$D92)</f>
        <v>1030</v>
      </c>
      <c r="U117" s="65">
        <f>$M117*(1+'FSS Phase 1 Assumptions'!$D92)</f>
        <v>1030</v>
      </c>
      <c r="V117" s="65">
        <f>$M117*(1+'FSS Phase 1 Assumptions'!$D92)</f>
        <v>1030</v>
      </c>
      <c r="W117" s="65">
        <f>$M117*(1+'FSS Phase 1 Assumptions'!$D92)</f>
        <v>1030</v>
      </c>
      <c r="X117" s="65">
        <f>$M117*(1+'FSS Phase 1 Assumptions'!$D92)</f>
        <v>1030</v>
      </c>
      <c r="Y117" s="65">
        <f>$M117*(1+'FSS Phase 1 Assumptions'!$D92)</f>
        <v>1030</v>
      </c>
      <c r="Z117" s="65">
        <f>$M117*(1+'FSS Phase 1 Assumptions'!$D92)</f>
        <v>1030</v>
      </c>
      <c r="AA117" s="59">
        <f t="shared" si="56"/>
        <v>12360</v>
      </c>
      <c r="AB117" s="172">
        <f>AA117*(1+'FSS Phase 1 Assumptions'!E92)</f>
        <v>12730.800000000001</v>
      </c>
      <c r="AC117" s="172">
        <f>AB117*(1+'FSS Phase 1 Assumptions'!F92)</f>
        <v>13112.724000000002</v>
      </c>
      <c r="AD117" s="172">
        <f>AC117*(1+'FSS Phase 1 Assumptions'!G92)</f>
        <v>13506.105720000003</v>
      </c>
    </row>
    <row r="118" spans="1:30" x14ac:dyDescent="0.2">
      <c r="A118" s="76" t="s">
        <v>243</v>
      </c>
      <c r="B118" s="65">
        <f>'FSS Phase 1 Assumptions'!$B93</f>
        <v>0</v>
      </c>
      <c r="C118" s="65">
        <f>'FSS Phase 1 Assumptions'!$B93</f>
        <v>0</v>
      </c>
      <c r="D118" s="65">
        <f>'FSS Phase 1 Assumptions'!$B93</f>
        <v>0</v>
      </c>
      <c r="E118" s="65">
        <f>'FSS Phase 1 Assumptions'!$B93</f>
        <v>0</v>
      </c>
      <c r="F118" s="65">
        <f>'FSS Phase 1 Assumptions'!$B93</f>
        <v>0</v>
      </c>
      <c r="G118" s="65">
        <f>'FSS Phase 1 Assumptions'!$B93</f>
        <v>0</v>
      </c>
      <c r="H118" s="65">
        <f>'FSS Phase 1 Assumptions'!$B93</f>
        <v>0</v>
      </c>
      <c r="I118" s="65">
        <f>'FSS Phase 1 Assumptions'!$B93</f>
        <v>0</v>
      </c>
      <c r="J118" s="65">
        <f>'FSS Phase 1 Assumptions'!$B93</f>
        <v>0</v>
      </c>
      <c r="K118" s="65">
        <f>'FSS Phase 1 Assumptions'!$B93</f>
        <v>0</v>
      </c>
      <c r="L118" s="65">
        <f>'FSS Phase 1 Assumptions'!$B93</f>
        <v>0</v>
      </c>
      <c r="M118" s="65">
        <f>'FSS Phase 1 Assumptions'!$B93</f>
        <v>0</v>
      </c>
      <c r="N118" s="156">
        <f t="shared" si="57"/>
        <v>0</v>
      </c>
      <c r="O118" s="65">
        <f>$M118*(1+'FSS Phase 1 Assumptions'!$D93)</f>
        <v>0</v>
      </c>
      <c r="P118" s="65">
        <f>$M118*(1+'FSS Phase 1 Assumptions'!$D93)</f>
        <v>0</v>
      </c>
      <c r="Q118" s="65">
        <f>$M118*(1+'FSS Phase 1 Assumptions'!$D93)</f>
        <v>0</v>
      </c>
      <c r="R118" s="65">
        <f>$M118*(1+'FSS Phase 1 Assumptions'!$D93)</f>
        <v>0</v>
      </c>
      <c r="S118" s="65">
        <f>$M118*(1+'FSS Phase 1 Assumptions'!$D93)</f>
        <v>0</v>
      </c>
      <c r="T118" s="65">
        <f>$M118*(1+'FSS Phase 1 Assumptions'!$D93)</f>
        <v>0</v>
      </c>
      <c r="U118" s="65">
        <f>$M118*(1+'FSS Phase 1 Assumptions'!$D93)</f>
        <v>0</v>
      </c>
      <c r="V118" s="65">
        <f>$M118*(1+'FSS Phase 1 Assumptions'!$D93)</f>
        <v>0</v>
      </c>
      <c r="W118" s="65">
        <f>$M118*(1+'FSS Phase 1 Assumptions'!$D93)</f>
        <v>0</v>
      </c>
      <c r="X118" s="65">
        <f>$M118*(1+'FSS Phase 1 Assumptions'!$D93)</f>
        <v>0</v>
      </c>
      <c r="Y118" s="65">
        <f>$M118*(1+'FSS Phase 1 Assumptions'!$D93)</f>
        <v>0</v>
      </c>
      <c r="Z118" s="65">
        <f>$M118*(1+'FSS Phase 1 Assumptions'!$D93)</f>
        <v>0</v>
      </c>
      <c r="AA118" s="59">
        <f t="shared" si="56"/>
        <v>0</v>
      </c>
      <c r="AB118" s="172">
        <f>AA118*(1+'FSS Phase 1 Assumptions'!E93)</f>
        <v>0</v>
      </c>
      <c r="AC118" s="172">
        <f>AB118*(1+'FSS Phase 1 Assumptions'!F93)</f>
        <v>0</v>
      </c>
      <c r="AD118" s="172">
        <f>AC118*(1+'FSS Phase 1 Assumptions'!G93)</f>
        <v>0</v>
      </c>
    </row>
    <row r="119" spans="1:30" x14ac:dyDescent="0.2">
      <c r="A119" s="76" t="s">
        <v>244</v>
      </c>
      <c r="B119" s="65">
        <f>'FSS Phase 1 Assumptions'!$B94</f>
        <v>500</v>
      </c>
      <c r="C119" s="65">
        <f>'FSS Phase 1 Assumptions'!$B94</f>
        <v>500</v>
      </c>
      <c r="D119" s="65">
        <f>'FSS Phase 1 Assumptions'!$B94</f>
        <v>500</v>
      </c>
      <c r="E119" s="65">
        <f>'FSS Phase 1 Assumptions'!$B94</f>
        <v>500</v>
      </c>
      <c r="F119" s="65">
        <f>'FSS Phase 1 Assumptions'!$B94</f>
        <v>500</v>
      </c>
      <c r="G119" s="65">
        <f>'FSS Phase 1 Assumptions'!$B94</f>
        <v>500</v>
      </c>
      <c r="H119" s="65">
        <f>'FSS Phase 1 Assumptions'!$B94</f>
        <v>500</v>
      </c>
      <c r="I119" s="65">
        <f>'FSS Phase 1 Assumptions'!$B94</f>
        <v>500</v>
      </c>
      <c r="J119" s="65">
        <f>'FSS Phase 1 Assumptions'!$B94</f>
        <v>500</v>
      </c>
      <c r="K119" s="65">
        <f>'FSS Phase 1 Assumptions'!$B94</f>
        <v>500</v>
      </c>
      <c r="L119" s="65">
        <f>'FSS Phase 1 Assumptions'!$B94</f>
        <v>500</v>
      </c>
      <c r="M119" s="65">
        <f>'FSS Phase 1 Assumptions'!$B94</f>
        <v>500</v>
      </c>
      <c r="N119" s="156">
        <f t="shared" si="57"/>
        <v>6000</v>
      </c>
      <c r="O119" s="65">
        <f>$M119*(1+'FSS Phase 1 Assumptions'!$D94)</f>
        <v>515</v>
      </c>
      <c r="P119" s="65">
        <f>$M119*(1+'FSS Phase 1 Assumptions'!$D94)</f>
        <v>515</v>
      </c>
      <c r="Q119" s="65">
        <f>$M119*(1+'FSS Phase 1 Assumptions'!$D94)</f>
        <v>515</v>
      </c>
      <c r="R119" s="65">
        <f>$M119*(1+'FSS Phase 1 Assumptions'!$D94)</f>
        <v>515</v>
      </c>
      <c r="S119" s="65">
        <f>$M119*(1+'FSS Phase 1 Assumptions'!$D94)</f>
        <v>515</v>
      </c>
      <c r="T119" s="65">
        <f>$M119*(1+'FSS Phase 1 Assumptions'!$D94)</f>
        <v>515</v>
      </c>
      <c r="U119" s="65">
        <f>$M119*(1+'FSS Phase 1 Assumptions'!$D94)</f>
        <v>515</v>
      </c>
      <c r="V119" s="65">
        <f>$M119*(1+'FSS Phase 1 Assumptions'!$D94)</f>
        <v>515</v>
      </c>
      <c r="W119" s="65">
        <f>$M119*(1+'FSS Phase 1 Assumptions'!$D94)</f>
        <v>515</v>
      </c>
      <c r="X119" s="65">
        <f>$M119*(1+'FSS Phase 1 Assumptions'!$D94)</f>
        <v>515</v>
      </c>
      <c r="Y119" s="65">
        <f>$M119*(1+'FSS Phase 1 Assumptions'!$D94)</f>
        <v>515</v>
      </c>
      <c r="Z119" s="65">
        <f>$M119*(1+'FSS Phase 1 Assumptions'!$D94)</f>
        <v>515</v>
      </c>
      <c r="AA119" s="59">
        <f t="shared" si="56"/>
        <v>6180</v>
      </c>
      <c r="AB119" s="172">
        <f>AA119*(1+'FSS Phase 1 Assumptions'!E94)</f>
        <v>6365.4000000000005</v>
      </c>
      <c r="AC119" s="172">
        <f>AB119*(1+'FSS Phase 1 Assumptions'!F94)</f>
        <v>6556.362000000001</v>
      </c>
      <c r="AD119" s="172">
        <f>AC119*(1+'FSS Phase 1 Assumptions'!G94)</f>
        <v>6753.0528600000016</v>
      </c>
    </row>
    <row r="120" spans="1:30" x14ac:dyDescent="0.2">
      <c r="A120" s="76" t="s">
        <v>248</v>
      </c>
      <c r="B120" s="65">
        <f>'FSS Phase 1 Assumptions'!$B95</f>
        <v>1000</v>
      </c>
      <c r="C120" s="65">
        <f>'FSS Phase 1 Assumptions'!$B95</f>
        <v>1000</v>
      </c>
      <c r="D120" s="65">
        <f>'FSS Phase 1 Assumptions'!$B95</f>
        <v>1000</v>
      </c>
      <c r="E120" s="65">
        <f>'FSS Phase 1 Assumptions'!$B95</f>
        <v>1000</v>
      </c>
      <c r="F120" s="65">
        <f>'FSS Phase 1 Assumptions'!$B95</f>
        <v>1000</v>
      </c>
      <c r="G120" s="65">
        <f>'FSS Phase 1 Assumptions'!$B95</f>
        <v>1000</v>
      </c>
      <c r="H120" s="65">
        <f>'FSS Phase 1 Assumptions'!$B95</f>
        <v>1000</v>
      </c>
      <c r="I120" s="65">
        <f>'FSS Phase 1 Assumptions'!$B95</f>
        <v>1000</v>
      </c>
      <c r="J120" s="65">
        <f>'FSS Phase 1 Assumptions'!$B95</f>
        <v>1000</v>
      </c>
      <c r="K120" s="65">
        <f>'FSS Phase 1 Assumptions'!$B95</f>
        <v>1000</v>
      </c>
      <c r="L120" s="65">
        <f>'FSS Phase 1 Assumptions'!$B95</f>
        <v>1000</v>
      </c>
      <c r="M120" s="65">
        <f>'FSS Phase 1 Assumptions'!$B95</f>
        <v>1000</v>
      </c>
      <c r="N120" s="156">
        <f t="shared" si="57"/>
        <v>12000</v>
      </c>
      <c r="O120" s="65">
        <f>$M120*(1+'FSS Phase 1 Assumptions'!$D95)</f>
        <v>1030</v>
      </c>
      <c r="P120" s="65">
        <f>$M120*(1+'FSS Phase 1 Assumptions'!$D95)</f>
        <v>1030</v>
      </c>
      <c r="Q120" s="65">
        <f>$M120*(1+'FSS Phase 1 Assumptions'!$D95)</f>
        <v>1030</v>
      </c>
      <c r="R120" s="65">
        <f>$M120*(1+'FSS Phase 1 Assumptions'!$D95)</f>
        <v>1030</v>
      </c>
      <c r="S120" s="65">
        <f>$M120*(1+'FSS Phase 1 Assumptions'!$D95)</f>
        <v>1030</v>
      </c>
      <c r="T120" s="65">
        <f>$M120*(1+'FSS Phase 1 Assumptions'!$D95)</f>
        <v>1030</v>
      </c>
      <c r="U120" s="65">
        <f>$M120*(1+'FSS Phase 1 Assumptions'!$D95)</f>
        <v>1030</v>
      </c>
      <c r="V120" s="65">
        <f>$M120*(1+'FSS Phase 1 Assumptions'!$D95)</f>
        <v>1030</v>
      </c>
      <c r="W120" s="65">
        <f>$M120*(1+'FSS Phase 1 Assumptions'!$D95)</f>
        <v>1030</v>
      </c>
      <c r="X120" s="65">
        <f>$M120*(1+'FSS Phase 1 Assumptions'!$D95)</f>
        <v>1030</v>
      </c>
      <c r="Y120" s="65">
        <f>$M120*(1+'FSS Phase 1 Assumptions'!$D95)</f>
        <v>1030</v>
      </c>
      <c r="Z120" s="65">
        <f>$M120*(1+'FSS Phase 1 Assumptions'!$D95)</f>
        <v>1030</v>
      </c>
      <c r="AA120" s="59">
        <f t="shared" si="56"/>
        <v>12360</v>
      </c>
      <c r="AB120" s="172">
        <f>AA120*(1+'FSS Phase 1 Assumptions'!E95)</f>
        <v>12730.800000000001</v>
      </c>
      <c r="AC120" s="172">
        <f>AB120*(1+'FSS Phase 1 Assumptions'!F95)</f>
        <v>13112.724000000002</v>
      </c>
      <c r="AD120" s="172">
        <f>AC120*(1+'FSS Phase 1 Assumptions'!G95)</f>
        <v>13506.105720000003</v>
      </c>
    </row>
    <row r="121" spans="1:30" x14ac:dyDescent="0.2">
      <c r="A121" s="76" t="s">
        <v>414</v>
      </c>
      <c r="B121" s="65">
        <f>'FSS Phase 1 Assumptions'!$B96</f>
        <v>2500</v>
      </c>
      <c r="C121" s="65">
        <f>'FSS Phase 1 Assumptions'!$B96</f>
        <v>2500</v>
      </c>
      <c r="D121" s="65">
        <f>'FSS Phase 1 Assumptions'!$B96</f>
        <v>2500</v>
      </c>
      <c r="E121" s="65">
        <f>'FSS Phase 1 Assumptions'!$B96</f>
        <v>2500</v>
      </c>
      <c r="F121" s="65">
        <f>'FSS Phase 1 Assumptions'!$B96</f>
        <v>2500</v>
      </c>
      <c r="G121" s="65">
        <f>'FSS Phase 1 Assumptions'!$B96</f>
        <v>2500</v>
      </c>
      <c r="H121" s="65">
        <f>'FSS Phase 1 Assumptions'!$B96</f>
        <v>2500</v>
      </c>
      <c r="I121" s="65">
        <f>'FSS Phase 1 Assumptions'!$B96</f>
        <v>2500</v>
      </c>
      <c r="J121" s="65">
        <f>'FSS Phase 1 Assumptions'!$B96</f>
        <v>2500</v>
      </c>
      <c r="K121" s="65">
        <f>'FSS Phase 1 Assumptions'!$B96</f>
        <v>2500</v>
      </c>
      <c r="L121" s="65">
        <f>'FSS Phase 1 Assumptions'!$B96</f>
        <v>2500</v>
      </c>
      <c r="M121" s="65">
        <f>'FSS Phase 1 Assumptions'!$B96</f>
        <v>2500</v>
      </c>
      <c r="N121" s="156">
        <f t="shared" ref="N121" si="58">SUM(B121:M121)</f>
        <v>30000</v>
      </c>
      <c r="O121" s="65">
        <f>$M121*(1+'FSS Phase 1 Assumptions'!$D96)</f>
        <v>2500</v>
      </c>
      <c r="P121" s="65">
        <f>$M121*(1+'FSS Phase 1 Assumptions'!$D96)</f>
        <v>2500</v>
      </c>
      <c r="Q121" s="65">
        <f>$M121*(1+'FSS Phase 1 Assumptions'!$D96)</f>
        <v>2500</v>
      </c>
      <c r="R121" s="65">
        <f>$M121*(1+'FSS Phase 1 Assumptions'!$D96)</f>
        <v>2500</v>
      </c>
      <c r="S121" s="65">
        <f>$M121*(1+'FSS Phase 1 Assumptions'!$D96)</f>
        <v>2500</v>
      </c>
      <c r="T121" s="65">
        <f>$M121*(1+'FSS Phase 1 Assumptions'!$D96)</f>
        <v>2500</v>
      </c>
      <c r="U121" s="65">
        <f>$M121*(1+'FSS Phase 1 Assumptions'!$D96)</f>
        <v>2500</v>
      </c>
      <c r="V121" s="65">
        <f>$M121*(1+'FSS Phase 1 Assumptions'!$D96)</f>
        <v>2500</v>
      </c>
      <c r="W121" s="65">
        <f>$M121*(1+'FSS Phase 1 Assumptions'!$D96)</f>
        <v>2500</v>
      </c>
      <c r="X121" s="65">
        <f>$M121*(1+'FSS Phase 1 Assumptions'!$D96)</f>
        <v>2500</v>
      </c>
      <c r="Y121" s="65">
        <f>$M121*(1+'FSS Phase 1 Assumptions'!$D96)</f>
        <v>2500</v>
      </c>
      <c r="Z121" s="65">
        <f>$M121*(1+'FSS Phase 1 Assumptions'!$D96)</f>
        <v>2500</v>
      </c>
      <c r="AA121" s="59">
        <f t="shared" ref="AA121" si="59">SUM(O121:Z121)</f>
        <v>30000</v>
      </c>
      <c r="AB121" s="172">
        <f>AA121*(1+'FSS Phase 1 Assumptions'!E96)</f>
        <v>30000</v>
      </c>
      <c r="AC121" s="172">
        <f>AB121*(1+'FSS Phase 1 Assumptions'!F96)</f>
        <v>30000</v>
      </c>
      <c r="AD121" s="172">
        <f>AC121*(1+'FSS Phase 1 Assumptions'!G96)</f>
        <v>30000</v>
      </c>
    </row>
    <row r="122" spans="1:30" x14ac:dyDescent="0.2">
      <c r="A122" s="76" t="s">
        <v>242</v>
      </c>
      <c r="B122" s="65">
        <f>'FSS Phase 1 Assumptions'!$B97</f>
        <v>5000</v>
      </c>
      <c r="C122" s="65">
        <f>'FSS Phase 1 Assumptions'!$B97</f>
        <v>5000</v>
      </c>
      <c r="D122" s="65">
        <f>'FSS Phase 1 Assumptions'!$B97</f>
        <v>5000</v>
      </c>
      <c r="E122" s="65">
        <f>'FSS Phase 1 Assumptions'!$B97</f>
        <v>5000</v>
      </c>
      <c r="F122" s="65">
        <f>'FSS Phase 1 Assumptions'!$B97</f>
        <v>5000</v>
      </c>
      <c r="G122" s="65">
        <f>'FSS Phase 1 Assumptions'!$B97</f>
        <v>5000</v>
      </c>
      <c r="H122" s="65">
        <f>'FSS Phase 1 Assumptions'!$B97</f>
        <v>5000</v>
      </c>
      <c r="I122" s="65">
        <f>'FSS Phase 1 Assumptions'!$B97</f>
        <v>5000</v>
      </c>
      <c r="J122" s="65">
        <f>'FSS Phase 1 Assumptions'!$B97</f>
        <v>5000</v>
      </c>
      <c r="K122" s="65">
        <f>'FSS Phase 1 Assumptions'!$B97</f>
        <v>5000</v>
      </c>
      <c r="L122" s="65">
        <f>'FSS Phase 1 Assumptions'!$B97</f>
        <v>5000</v>
      </c>
      <c r="M122" s="65">
        <f>'FSS Phase 1 Assumptions'!$B97</f>
        <v>5000</v>
      </c>
      <c r="N122" s="156">
        <f t="shared" si="57"/>
        <v>60000</v>
      </c>
      <c r="O122" s="65">
        <f>$M122*(1+'FSS Phase 1 Assumptions'!$D97)</f>
        <v>5150</v>
      </c>
      <c r="P122" s="65">
        <f>$M122*(1+'FSS Phase 1 Assumptions'!$D97)</f>
        <v>5150</v>
      </c>
      <c r="Q122" s="65">
        <f>$M122*(1+'FSS Phase 1 Assumptions'!$D97)</f>
        <v>5150</v>
      </c>
      <c r="R122" s="65">
        <f>$M122*(1+'FSS Phase 1 Assumptions'!$D97)</f>
        <v>5150</v>
      </c>
      <c r="S122" s="65">
        <f>$M122*(1+'FSS Phase 1 Assumptions'!$D97)</f>
        <v>5150</v>
      </c>
      <c r="T122" s="65">
        <f>$M122*(1+'FSS Phase 1 Assumptions'!$D97)</f>
        <v>5150</v>
      </c>
      <c r="U122" s="65">
        <f>$M122*(1+'FSS Phase 1 Assumptions'!$D97)</f>
        <v>5150</v>
      </c>
      <c r="V122" s="65">
        <f>$M122*(1+'FSS Phase 1 Assumptions'!$D97)</f>
        <v>5150</v>
      </c>
      <c r="W122" s="65">
        <f>$M122*(1+'FSS Phase 1 Assumptions'!$D97)</f>
        <v>5150</v>
      </c>
      <c r="X122" s="65">
        <f>$M122*(1+'FSS Phase 1 Assumptions'!$D97)</f>
        <v>5150</v>
      </c>
      <c r="Y122" s="65">
        <f>$M122*(1+'FSS Phase 1 Assumptions'!$D97)</f>
        <v>5150</v>
      </c>
      <c r="Z122" s="65">
        <f>$M122*(1+'FSS Phase 1 Assumptions'!$D97)</f>
        <v>5150</v>
      </c>
      <c r="AA122" s="59">
        <f t="shared" si="56"/>
        <v>61800</v>
      </c>
      <c r="AB122" s="172">
        <f>AA122*(1+'FSS Phase 1 Assumptions'!E97)</f>
        <v>63654</v>
      </c>
      <c r="AC122" s="172">
        <f>AB122*(1+'FSS Phase 1 Assumptions'!F97)</f>
        <v>65563.62</v>
      </c>
      <c r="AD122" s="172">
        <f>AC122*(1+'FSS Phase 1 Assumptions'!G97)</f>
        <v>67530.528599999991</v>
      </c>
    </row>
    <row r="123" spans="1:30" x14ac:dyDescent="0.2">
      <c r="A123" s="76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160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132"/>
      <c r="AB123" s="191"/>
      <c r="AC123" s="191"/>
      <c r="AD123" s="191"/>
    </row>
    <row r="124" spans="1:30" s="95" customFormat="1" collapsed="1" x14ac:dyDescent="0.2">
      <c r="A124" s="74" t="s">
        <v>74</v>
      </c>
      <c r="B124" s="94">
        <f>SUM(B115:B123)</f>
        <v>24339</v>
      </c>
      <c r="C124" s="94">
        <f t="shared" ref="C124:N124" si="60">SUM(C115:C123)</f>
        <v>24339</v>
      </c>
      <c r="D124" s="94">
        <f t="shared" si="60"/>
        <v>24339</v>
      </c>
      <c r="E124" s="94">
        <f t="shared" si="60"/>
        <v>24339</v>
      </c>
      <c r="F124" s="94">
        <f t="shared" si="60"/>
        <v>24339</v>
      </c>
      <c r="G124" s="94">
        <f t="shared" si="60"/>
        <v>24339</v>
      </c>
      <c r="H124" s="94">
        <f t="shared" si="60"/>
        <v>24339</v>
      </c>
      <c r="I124" s="94">
        <f t="shared" si="60"/>
        <v>24339</v>
      </c>
      <c r="J124" s="94">
        <f t="shared" si="60"/>
        <v>24339</v>
      </c>
      <c r="K124" s="94">
        <f t="shared" si="60"/>
        <v>24339</v>
      </c>
      <c r="L124" s="94">
        <f t="shared" si="60"/>
        <v>24339</v>
      </c>
      <c r="M124" s="94">
        <f t="shared" si="60"/>
        <v>24339</v>
      </c>
      <c r="N124" s="94">
        <f t="shared" si="60"/>
        <v>292068</v>
      </c>
      <c r="O124" s="94">
        <f t="shared" ref="O124" si="61">SUM(O115:O123)</f>
        <v>24994.17</v>
      </c>
      <c r="P124" s="94">
        <f t="shared" ref="P124" si="62">SUM(P115:P123)</f>
        <v>24994.17</v>
      </c>
      <c r="Q124" s="94">
        <f t="shared" ref="Q124" si="63">SUM(Q115:Q123)</f>
        <v>24994.17</v>
      </c>
      <c r="R124" s="94">
        <f t="shared" ref="R124" si="64">SUM(R115:R123)</f>
        <v>24994.17</v>
      </c>
      <c r="S124" s="94">
        <f t="shared" ref="S124" si="65">SUM(S115:S123)</f>
        <v>24994.17</v>
      </c>
      <c r="T124" s="94">
        <f t="shared" ref="T124" si="66">SUM(T115:T123)</f>
        <v>24994.17</v>
      </c>
      <c r="U124" s="94">
        <f t="shared" ref="U124" si="67">SUM(U115:U123)</f>
        <v>24994.17</v>
      </c>
      <c r="V124" s="94">
        <f t="shared" ref="V124" si="68">SUM(V115:V123)</f>
        <v>24994.17</v>
      </c>
      <c r="W124" s="94">
        <f t="shared" ref="W124" si="69">SUM(W115:W123)</f>
        <v>24994.17</v>
      </c>
      <c r="X124" s="94">
        <f t="shared" ref="X124" si="70">SUM(X115:X123)</f>
        <v>24994.17</v>
      </c>
      <c r="Y124" s="94">
        <f t="shared" ref="Y124" si="71">SUM(Y115:Y123)</f>
        <v>24994.17</v>
      </c>
      <c r="Z124" s="94">
        <f t="shared" ref="Z124" si="72">SUM(Z115:Z123)</f>
        <v>24994.17</v>
      </c>
      <c r="AA124" s="94">
        <f t="shared" ref="AA124" si="73">SUM(AA115:AA123)</f>
        <v>299930.03999999998</v>
      </c>
      <c r="AB124" s="94">
        <f t="shared" ref="AB124" si="74">SUM(AB115:AB123)</f>
        <v>308027.9412</v>
      </c>
      <c r="AC124" s="94">
        <f t="shared" ref="AC124" si="75">SUM(AC115:AC123)</f>
        <v>316368.77943599998</v>
      </c>
      <c r="AD124" s="94">
        <f t="shared" ref="AD124" si="76">SUM(AD115:AD123)</f>
        <v>324959.84281907999</v>
      </c>
    </row>
    <row r="125" spans="1:30" x14ac:dyDescent="0.2">
      <c r="A125" s="74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4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172"/>
      <c r="AC125" s="172"/>
      <c r="AD125" s="172"/>
    </row>
    <row r="126" spans="1:30" x14ac:dyDescent="0.2">
      <c r="A126" s="74" t="s">
        <v>246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4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172"/>
      <c r="AC126" s="172"/>
      <c r="AD126" s="172"/>
    </row>
    <row r="127" spans="1:30" x14ac:dyDescent="0.2">
      <c r="A127" s="76" t="s">
        <v>424</v>
      </c>
      <c r="B127" s="65">
        <f>B27*'FSS Phase 1 Assumptions'!$B$100</f>
        <v>0</v>
      </c>
      <c r="C127" s="65">
        <f>C27*'FSS Phase 1 Assumptions'!$B$100</f>
        <v>0</v>
      </c>
      <c r="D127" s="65">
        <f>D27*'FSS Phase 1 Assumptions'!$B$100</f>
        <v>90334.24</v>
      </c>
      <c r="E127" s="65">
        <f>E27*'FSS Phase 1 Assumptions'!$B$100</f>
        <v>180668.48</v>
      </c>
      <c r="F127" s="65">
        <f>F27*'FSS Phase 1 Assumptions'!$B$100</f>
        <v>271002.71999999997</v>
      </c>
      <c r="G127" s="65">
        <f>G27*'FSS Phase 1 Assumptions'!$B$100</f>
        <v>361336.96</v>
      </c>
      <c r="H127" s="65">
        <f>H27*'FSS Phase 1 Assumptions'!$B$100</f>
        <v>451671.19999999995</v>
      </c>
      <c r="I127" s="65">
        <f>I27*'FSS Phase 1 Assumptions'!$B$100</f>
        <v>542005.43999999994</v>
      </c>
      <c r="J127" s="65">
        <f>J27*'FSS Phase 1 Assumptions'!$B$100</f>
        <v>632339.67999999993</v>
      </c>
      <c r="K127" s="65">
        <f>K27*'FSS Phase 1 Assumptions'!$B$100</f>
        <v>722673.92</v>
      </c>
      <c r="L127" s="65">
        <f>L27*'FSS Phase 1 Assumptions'!$B$100</f>
        <v>813008.15999999992</v>
      </c>
      <c r="M127" s="65">
        <f>M27*'FSS Phase 1 Assumptions'!$B$100</f>
        <v>813008.15999999992</v>
      </c>
      <c r="N127" s="158">
        <f t="shared" ref="N127:N130" si="77">SUM(B127:M127)</f>
        <v>4878048.96</v>
      </c>
      <c r="O127" s="65">
        <f>O27*'FSS Phase 1 Assumptions'!$B$100</f>
        <v>813008.15999999992</v>
      </c>
      <c r="P127" s="65">
        <f>P27*'FSS Phase 1 Assumptions'!$B$100</f>
        <v>813008.15999999992</v>
      </c>
      <c r="Q127" s="65">
        <f>Q27*'FSS Phase 1 Assumptions'!$B$100</f>
        <v>813008.15999999992</v>
      </c>
      <c r="R127" s="65">
        <f>R27*'FSS Phase 1 Assumptions'!$B$100</f>
        <v>813008.15999999992</v>
      </c>
      <c r="S127" s="65">
        <f>S27*'FSS Phase 1 Assumptions'!$B$100</f>
        <v>813008.15999999992</v>
      </c>
      <c r="T127" s="65">
        <f>T27*'FSS Phase 1 Assumptions'!$B$100</f>
        <v>813008.15999999992</v>
      </c>
      <c r="U127" s="65">
        <f>U27*'FSS Phase 1 Assumptions'!$B$100</f>
        <v>813008.15999999992</v>
      </c>
      <c r="V127" s="65">
        <f>V27*'FSS Phase 1 Assumptions'!$B$100</f>
        <v>813008.15999999992</v>
      </c>
      <c r="W127" s="65">
        <f>W27*'FSS Phase 1 Assumptions'!$B$100</f>
        <v>813008.15999999992</v>
      </c>
      <c r="X127" s="65">
        <f>X27*'FSS Phase 1 Assumptions'!$B$100</f>
        <v>813008.15999999992</v>
      </c>
      <c r="Y127" s="65">
        <f>Y27*'FSS Phase 1 Assumptions'!$B$100</f>
        <v>813008.15999999992</v>
      </c>
      <c r="Z127" s="65">
        <f>Z27*'FSS Phase 1 Assumptions'!$B$100</f>
        <v>813008.15999999992</v>
      </c>
      <c r="AA127" s="59">
        <f t="shared" ref="AA127:AA130" si="78">SUM(O127:Z127)</f>
        <v>9756097.9199999999</v>
      </c>
      <c r="AB127" s="172">
        <f>AB27*'FSS Phase 1 Assumptions'!$B$100</f>
        <v>10048780.8576</v>
      </c>
      <c r="AC127" s="172">
        <f>AC27*'FSS Phase 1 Assumptions'!$B$100</f>
        <v>10090429.113599999</v>
      </c>
      <c r="AD127" s="172">
        <f>AD27*'FSS Phase 1 Assumptions'!$B$100</f>
        <v>10393141.987007998</v>
      </c>
    </row>
    <row r="128" spans="1:30" x14ac:dyDescent="0.2">
      <c r="A128" s="76" t="s">
        <v>245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158">
        <f t="shared" si="77"/>
        <v>0</v>
      </c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59">
        <f t="shared" si="78"/>
        <v>0</v>
      </c>
      <c r="AB128" s="172">
        <f>AA128*(1+'FSS Phase 1 Assumptions'!E103)</f>
        <v>0</v>
      </c>
      <c r="AC128" s="172">
        <f>AB128*(1+'FSS Phase 1 Assumptions'!F103)</f>
        <v>0</v>
      </c>
      <c r="AD128" s="172">
        <f>AC128*(1+'FSS Phase 1 Assumptions'!G103)</f>
        <v>0</v>
      </c>
    </row>
    <row r="129" spans="1:36" x14ac:dyDescent="0.2">
      <c r="A129" s="76" t="s">
        <v>490</v>
      </c>
      <c r="B129" s="65">
        <f>'FSS Phase 1 Assumptions'!$B$105</f>
        <v>60250</v>
      </c>
      <c r="C129" s="65">
        <f>'FSS Phase 1 Assumptions'!$B$105</f>
        <v>60250</v>
      </c>
      <c r="D129" s="65">
        <f>'FSS Phase 1 Assumptions'!$B$105</f>
        <v>60250</v>
      </c>
      <c r="E129" s="65">
        <f>'FSS Phase 1 Assumptions'!$B$105</f>
        <v>60250</v>
      </c>
      <c r="F129" s="65">
        <f>'FSS Phase 1 Assumptions'!$B$105</f>
        <v>60250</v>
      </c>
      <c r="G129" s="65">
        <f>'FSS Phase 1 Assumptions'!$B$105</f>
        <v>60250</v>
      </c>
      <c r="H129" s="65">
        <f>'FSS Phase 1 Assumptions'!$B$105</f>
        <v>60250</v>
      </c>
      <c r="I129" s="65">
        <f>'FSS Phase 1 Assumptions'!$B$105</f>
        <v>60250</v>
      </c>
      <c r="J129" s="65">
        <f>'FSS Phase 1 Assumptions'!$B$105</f>
        <v>60250</v>
      </c>
      <c r="K129" s="65">
        <f>'FSS Phase 1 Assumptions'!$B$105</f>
        <v>60250</v>
      </c>
      <c r="L129" s="65">
        <f>'FSS Phase 1 Assumptions'!$B$105</f>
        <v>60250</v>
      </c>
      <c r="M129" s="65">
        <f>'FSS Phase 1 Assumptions'!$B$105</f>
        <v>60250</v>
      </c>
      <c r="N129" s="158">
        <f t="shared" si="77"/>
        <v>723000</v>
      </c>
      <c r="O129" s="65">
        <f>'FSS Phase 1 Assumptions'!$B105</f>
        <v>60250</v>
      </c>
      <c r="P129" s="65">
        <f>'FSS Phase 1 Assumptions'!$B$105</f>
        <v>60250</v>
      </c>
      <c r="Q129" s="65">
        <f>'FSS Phase 1 Assumptions'!$B$105</f>
        <v>60250</v>
      </c>
      <c r="R129" s="65">
        <f>'FSS Phase 1 Assumptions'!$B$105</f>
        <v>60250</v>
      </c>
      <c r="S129" s="65">
        <f>'FSS Phase 1 Assumptions'!$B$105</f>
        <v>60250</v>
      </c>
      <c r="T129" s="65">
        <f>'FSS Phase 1 Assumptions'!$B$105</f>
        <v>60250</v>
      </c>
      <c r="U129" s="65">
        <f>'FSS Phase 1 Assumptions'!$B$105</f>
        <v>60250</v>
      </c>
      <c r="V129" s="65">
        <f>'FSS Phase 1 Assumptions'!$B$105</f>
        <v>60250</v>
      </c>
      <c r="W129" s="65">
        <f>'FSS Phase 1 Assumptions'!$B$105</f>
        <v>60250</v>
      </c>
      <c r="X129" s="65">
        <f>'FSS Phase 1 Assumptions'!$B$105</f>
        <v>60250</v>
      </c>
      <c r="Y129" s="65">
        <f>'FSS Phase 1 Assumptions'!$B$105</f>
        <v>60250</v>
      </c>
      <c r="Z129" s="65">
        <f>'FSS Phase 1 Assumptions'!$B$105</f>
        <v>60250</v>
      </c>
      <c r="AA129" s="59">
        <f t="shared" si="78"/>
        <v>723000</v>
      </c>
      <c r="AB129" s="172">
        <f>AA129*(1+'FSS Phase 1 Assumptions'!E104)</f>
        <v>723000</v>
      </c>
      <c r="AC129" s="172">
        <f>AB129*(1+'FSS Phase 1 Assumptions'!F104)</f>
        <v>723000</v>
      </c>
      <c r="AD129" s="172">
        <f>AC129*(1+'FSS Phase 1 Assumptions'!G104)</f>
        <v>723000</v>
      </c>
    </row>
    <row r="130" spans="1:36" x14ac:dyDescent="0.2">
      <c r="A130" s="76" t="s">
        <v>550</v>
      </c>
      <c r="B130" s="65">
        <f>'FSS Phase 1 Assumptions'!$B109</f>
        <v>833333.33333333337</v>
      </c>
      <c r="C130" s="65">
        <f>'FSS Phase 1 Assumptions'!$B109</f>
        <v>833333.33333333337</v>
      </c>
      <c r="D130" s="65">
        <f>'FSS Phase 1 Assumptions'!$B109</f>
        <v>833333.33333333337</v>
      </c>
      <c r="E130" s="65">
        <f>'FSS Phase 1 Assumptions'!$B109</f>
        <v>833333.33333333337</v>
      </c>
      <c r="F130" s="65">
        <f>'FSS Phase 1 Assumptions'!$B109</f>
        <v>833333.33333333337</v>
      </c>
      <c r="G130" s="65">
        <f>'FSS Phase 1 Assumptions'!$B109</f>
        <v>833333.33333333337</v>
      </c>
      <c r="H130" s="65">
        <f>'FSS Phase 1 Assumptions'!$B109</f>
        <v>833333.33333333337</v>
      </c>
      <c r="I130" s="65">
        <f>'FSS Phase 1 Assumptions'!$B109</f>
        <v>833333.33333333337</v>
      </c>
      <c r="J130" s="65">
        <f>'FSS Phase 1 Assumptions'!$B109</f>
        <v>833333.33333333337</v>
      </c>
      <c r="K130" s="65">
        <f>'FSS Phase 1 Assumptions'!$B109</f>
        <v>833333.33333333337</v>
      </c>
      <c r="L130" s="65">
        <f>'FSS Phase 1 Assumptions'!$B109</f>
        <v>833333.33333333337</v>
      </c>
      <c r="M130" s="65">
        <f>'FSS Phase 1 Assumptions'!$B109</f>
        <v>833333.33333333337</v>
      </c>
      <c r="N130" s="158">
        <f t="shared" si="77"/>
        <v>10000000</v>
      </c>
      <c r="O130" s="65">
        <f>$M130*(1+'FSS Phase 1 Assumptions'!$D109)</f>
        <v>854166.66666666663</v>
      </c>
      <c r="P130" s="65">
        <f>$M130*(1+'FSS Phase 1 Assumptions'!$D109)</f>
        <v>854166.66666666663</v>
      </c>
      <c r="Q130" s="65">
        <f>$M130*(1+'FSS Phase 1 Assumptions'!$D109)</f>
        <v>854166.66666666663</v>
      </c>
      <c r="R130" s="65">
        <f>$M130*(1+'FSS Phase 1 Assumptions'!$D109)</f>
        <v>854166.66666666663</v>
      </c>
      <c r="S130" s="65">
        <f>$M130*(1+'FSS Phase 1 Assumptions'!$D109)</f>
        <v>854166.66666666663</v>
      </c>
      <c r="T130" s="65">
        <f>$M130*(1+'FSS Phase 1 Assumptions'!$D109)</f>
        <v>854166.66666666663</v>
      </c>
      <c r="U130" s="65">
        <f>$M130*(1+'FSS Phase 1 Assumptions'!$D109)</f>
        <v>854166.66666666663</v>
      </c>
      <c r="V130" s="65">
        <f>$M130*(1+'FSS Phase 1 Assumptions'!$D109)</f>
        <v>854166.66666666663</v>
      </c>
      <c r="W130" s="65">
        <f>$M130*(1+'FSS Phase 1 Assumptions'!$D109)</f>
        <v>854166.66666666663</v>
      </c>
      <c r="X130" s="65">
        <f>$M130*(1+'FSS Phase 1 Assumptions'!$D109)</f>
        <v>854166.66666666663</v>
      </c>
      <c r="Y130" s="65">
        <f>$M130*(1+'FSS Phase 1 Assumptions'!$D109)</f>
        <v>854166.66666666663</v>
      </c>
      <c r="Z130" s="65">
        <f>$M130*(1+'FSS Phase 1 Assumptions'!$D109)</f>
        <v>854166.66666666663</v>
      </c>
      <c r="AA130" s="59">
        <f t="shared" si="78"/>
        <v>10250000</v>
      </c>
      <c r="AB130" s="172">
        <f>AA130*(1+'FSS Phase 1 Assumptions'!E109)</f>
        <v>10506250</v>
      </c>
      <c r="AC130" s="172">
        <f>AB130*(1+'FSS Phase 1 Assumptions'!F109)</f>
        <v>10768906.249999998</v>
      </c>
      <c r="AD130" s="172">
        <f>AC130*(1+'FSS Phase 1 Assumptions'!G109)</f>
        <v>11038128.906249996</v>
      </c>
    </row>
    <row r="131" spans="1:36" x14ac:dyDescent="0.2">
      <c r="A131" s="76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158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132"/>
      <c r="AB131" s="191"/>
      <c r="AC131" s="191"/>
      <c r="AD131" s="191"/>
    </row>
    <row r="132" spans="1:36" s="95" customFormat="1" collapsed="1" x14ac:dyDescent="0.2">
      <c r="A132" s="74" t="s">
        <v>247</v>
      </c>
      <c r="B132" s="97">
        <f>SUM(B126:B131)</f>
        <v>893583.33333333337</v>
      </c>
      <c r="C132" s="97">
        <f t="shared" ref="C132:M132" si="79">SUM(C126:C131)</f>
        <v>893583.33333333337</v>
      </c>
      <c r="D132" s="97">
        <f t="shared" si="79"/>
        <v>983917.57333333336</v>
      </c>
      <c r="E132" s="97">
        <f t="shared" si="79"/>
        <v>1074251.8133333335</v>
      </c>
      <c r="F132" s="97">
        <f t="shared" si="79"/>
        <v>1164586.0533333332</v>
      </c>
      <c r="G132" s="97">
        <f t="shared" si="79"/>
        <v>1254920.2933333335</v>
      </c>
      <c r="H132" s="97">
        <f t="shared" si="79"/>
        <v>1345254.5333333332</v>
      </c>
      <c r="I132" s="97">
        <f t="shared" si="79"/>
        <v>1435588.7733333334</v>
      </c>
      <c r="J132" s="97">
        <f t="shared" si="79"/>
        <v>1525923.0133333332</v>
      </c>
      <c r="K132" s="97">
        <f t="shared" si="79"/>
        <v>1616257.2533333334</v>
      </c>
      <c r="L132" s="97">
        <f t="shared" si="79"/>
        <v>1706591.4933333332</v>
      </c>
      <c r="M132" s="97">
        <f t="shared" si="79"/>
        <v>1706591.4933333332</v>
      </c>
      <c r="N132" s="97">
        <f t="shared" ref="N132" si="80">SUM(N126:N131)</f>
        <v>15601048.960000001</v>
      </c>
      <c r="O132" s="97">
        <f>SUM(O126:O131)</f>
        <v>1727424.8266666667</v>
      </c>
      <c r="P132" s="97">
        <f t="shared" ref="P132" si="81">SUM(P126:P131)</f>
        <v>1727424.8266666667</v>
      </c>
      <c r="Q132" s="97">
        <f t="shared" ref="Q132" si="82">SUM(Q126:Q131)</f>
        <v>1727424.8266666667</v>
      </c>
      <c r="R132" s="97">
        <f t="shared" ref="R132" si="83">SUM(R126:R131)</f>
        <v>1727424.8266666667</v>
      </c>
      <c r="S132" s="97">
        <f t="shared" ref="S132" si="84">SUM(S126:S131)</f>
        <v>1727424.8266666667</v>
      </c>
      <c r="T132" s="97">
        <f t="shared" ref="T132" si="85">SUM(T126:T131)</f>
        <v>1727424.8266666667</v>
      </c>
      <c r="U132" s="97">
        <f t="shared" ref="U132" si="86">SUM(U126:U131)</f>
        <v>1727424.8266666667</v>
      </c>
      <c r="V132" s="97">
        <f t="shared" ref="V132" si="87">SUM(V126:V131)</f>
        <v>1727424.8266666667</v>
      </c>
      <c r="W132" s="97">
        <f t="shared" ref="W132" si="88">SUM(W126:W131)</f>
        <v>1727424.8266666667</v>
      </c>
      <c r="X132" s="97">
        <f t="shared" ref="X132" si="89">SUM(X126:X131)</f>
        <v>1727424.8266666667</v>
      </c>
      <c r="Y132" s="97">
        <f t="shared" ref="Y132" si="90">SUM(Y126:Y131)</f>
        <v>1727424.8266666667</v>
      </c>
      <c r="Z132" s="97">
        <f t="shared" ref="Z132" si="91">SUM(Z126:Z131)</f>
        <v>1727424.8266666667</v>
      </c>
      <c r="AA132" s="97">
        <f t="shared" ref="AA132" si="92">SUM(AA126:AA131)</f>
        <v>20729097.920000002</v>
      </c>
      <c r="AB132" s="97">
        <f t="shared" ref="AB132" si="93">SUM(AB126:AB131)</f>
        <v>21278030.8576</v>
      </c>
      <c r="AC132" s="97">
        <f t="shared" ref="AC132" si="94">SUM(AC126:AC131)</f>
        <v>21582335.363599997</v>
      </c>
      <c r="AD132" s="97">
        <f t="shared" ref="AD132" si="95">SUM(AD126:AD131)</f>
        <v>22154270.893257994</v>
      </c>
    </row>
    <row r="133" spans="1:36" s="95" customFormat="1" x14ac:dyDescent="0.2">
      <c r="A133" s="7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</row>
    <row r="134" spans="1:36" s="95" customFormat="1" x14ac:dyDescent="0.2">
      <c r="A134" s="74" t="s">
        <v>254</v>
      </c>
      <c r="B134" s="148">
        <f t="shared" ref="B134:AD134" si="96">SUM(B30:B133)/2</f>
        <v>2485461.971376</v>
      </c>
      <c r="C134" s="148">
        <f t="shared" si="96"/>
        <v>2491865.1199999996</v>
      </c>
      <c r="D134" s="148">
        <f t="shared" si="96"/>
        <v>2674887.1599999997</v>
      </c>
      <c r="E134" s="148">
        <f t="shared" si="96"/>
        <v>2857909.1999999997</v>
      </c>
      <c r="F134" s="148">
        <f t="shared" si="96"/>
        <v>3040323.96</v>
      </c>
      <c r="G134" s="148">
        <f t="shared" si="96"/>
        <v>3425230.76</v>
      </c>
      <c r="H134" s="148">
        <f t="shared" si="96"/>
        <v>3594457.88</v>
      </c>
      <c r="I134" s="148">
        <f t="shared" si="96"/>
        <v>3777479.9199999995</v>
      </c>
      <c r="J134" s="148">
        <f t="shared" si="96"/>
        <v>3938917.0399999991</v>
      </c>
      <c r="K134" s="148">
        <f t="shared" si="96"/>
        <v>4137671.1199999992</v>
      </c>
      <c r="L134" s="148">
        <f t="shared" si="96"/>
        <v>4270959.3599999994</v>
      </c>
      <c r="M134" s="148">
        <f t="shared" si="96"/>
        <v>4316248.8599999994</v>
      </c>
      <c r="N134" s="148">
        <f t="shared" si="96"/>
        <v>41011412.351375997</v>
      </c>
      <c r="O134" s="148">
        <f t="shared" si="96"/>
        <v>4423091.7432916667</v>
      </c>
      <c r="P134" s="148">
        <f t="shared" si="96"/>
        <v>4423091.7432916667</v>
      </c>
      <c r="Q134" s="148">
        <f t="shared" si="96"/>
        <v>4423091.7432916667</v>
      </c>
      <c r="R134" s="148">
        <f t="shared" si="96"/>
        <v>4423091.7432916667</v>
      </c>
      <c r="S134" s="148">
        <f t="shared" si="96"/>
        <v>4422673.0182916671</v>
      </c>
      <c r="T134" s="148">
        <f t="shared" si="96"/>
        <v>4422673.0182916671</v>
      </c>
      <c r="U134" s="148">
        <f t="shared" si="96"/>
        <v>4422673.0182916671</v>
      </c>
      <c r="V134" s="148">
        <f t="shared" si="96"/>
        <v>4422673.0182916671</v>
      </c>
      <c r="W134" s="148">
        <f t="shared" si="96"/>
        <v>4422673.0182916671</v>
      </c>
      <c r="X134" s="148">
        <f t="shared" si="96"/>
        <v>4422673.0182916671</v>
      </c>
      <c r="Y134" s="148">
        <f t="shared" si="96"/>
        <v>4422673.0182916671</v>
      </c>
      <c r="Z134" s="148">
        <f t="shared" si="96"/>
        <v>4422673.0182916671</v>
      </c>
      <c r="AA134" s="148">
        <f t="shared" si="96"/>
        <v>53073751.119499996</v>
      </c>
      <c r="AB134" s="148">
        <f t="shared" si="96"/>
        <v>54788834.682085</v>
      </c>
      <c r="AC134" s="148">
        <f t="shared" si="96"/>
        <v>56183935.788469568</v>
      </c>
      <c r="AD134" s="148">
        <f t="shared" si="96"/>
        <v>58016841.499726139</v>
      </c>
    </row>
    <row r="135" spans="1:36" s="95" customFormat="1" x14ac:dyDescent="0.2">
      <c r="A135" s="7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</row>
    <row r="136" spans="1:36" s="88" customFormat="1" x14ac:dyDescent="0.2">
      <c r="A136" s="90" t="s">
        <v>270</v>
      </c>
      <c r="B136" s="81">
        <f t="shared" ref="B136:AD136" si="97">B27-B134</f>
        <v>-2485461.971376</v>
      </c>
      <c r="C136" s="81">
        <f t="shared" si="97"/>
        <v>-2491865.1199999996</v>
      </c>
      <c r="D136" s="81">
        <f t="shared" si="97"/>
        <v>-1169316.4933333329</v>
      </c>
      <c r="E136" s="81">
        <f t="shared" si="97"/>
        <v>153232.13333333377</v>
      </c>
      <c r="F136" s="81">
        <f t="shared" si="97"/>
        <v>1476388.04</v>
      </c>
      <c r="G136" s="81">
        <f t="shared" si="97"/>
        <v>2597051.9066666672</v>
      </c>
      <c r="H136" s="81">
        <f t="shared" si="97"/>
        <v>3933395.4533333331</v>
      </c>
      <c r="I136" s="81">
        <f t="shared" si="97"/>
        <v>5255944.08</v>
      </c>
      <c r="J136" s="81">
        <f t="shared" si="97"/>
        <v>6600077.6266666669</v>
      </c>
      <c r="K136" s="81">
        <f t="shared" si="97"/>
        <v>7906894.2133333348</v>
      </c>
      <c r="L136" s="81">
        <f t="shared" si="97"/>
        <v>9279176.6400000006</v>
      </c>
      <c r="M136" s="81">
        <f t="shared" si="97"/>
        <v>9233887.1400000006</v>
      </c>
      <c r="N136" s="81">
        <f t="shared" si="97"/>
        <v>40289403.648624003</v>
      </c>
      <c r="O136" s="81">
        <f t="shared" si="97"/>
        <v>9127044.2567083333</v>
      </c>
      <c r="P136" s="81">
        <f t="shared" si="97"/>
        <v>9127044.2567083333</v>
      </c>
      <c r="Q136" s="81">
        <f t="shared" si="97"/>
        <v>9127044.2567083333</v>
      </c>
      <c r="R136" s="81">
        <f t="shared" si="97"/>
        <v>9127044.2567083333</v>
      </c>
      <c r="S136" s="81">
        <f t="shared" si="97"/>
        <v>9127462.9817083329</v>
      </c>
      <c r="T136" s="81">
        <f t="shared" si="97"/>
        <v>9127462.9817083329</v>
      </c>
      <c r="U136" s="81">
        <f t="shared" si="97"/>
        <v>9127462.9817083329</v>
      </c>
      <c r="V136" s="81">
        <f t="shared" si="97"/>
        <v>9127462.9817083329</v>
      </c>
      <c r="W136" s="81">
        <f t="shared" si="97"/>
        <v>9127462.9817083329</v>
      </c>
      <c r="X136" s="81">
        <f t="shared" si="97"/>
        <v>9127462.9817083329</v>
      </c>
      <c r="Y136" s="81">
        <f t="shared" si="97"/>
        <v>9127462.9817083329</v>
      </c>
      <c r="Z136" s="81">
        <f t="shared" si="97"/>
        <v>9127462.9817083329</v>
      </c>
      <c r="AA136" s="81">
        <f t="shared" si="97"/>
        <v>109527880.8805</v>
      </c>
      <c r="AB136" s="81">
        <f t="shared" si="97"/>
        <v>112690846.277915</v>
      </c>
      <c r="AC136" s="81">
        <f t="shared" si="97"/>
        <v>111989882.77153043</v>
      </c>
      <c r="AD136" s="81">
        <f t="shared" si="97"/>
        <v>115202191.61707383</v>
      </c>
      <c r="AE136" s="80"/>
      <c r="AF136" s="80"/>
      <c r="AG136" s="80"/>
      <c r="AH136" s="80"/>
      <c r="AI136" s="80"/>
      <c r="AJ136" s="80"/>
    </row>
    <row r="137" spans="1:36" s="52" customFormat="1" x14ac:dyDescent="0.2">
      <c r="A137" s="98" t="s">
        <v>400</v>
      </c>
      <c r="B137" s="89" t="str">
        <f t="shared" ref="B137:D137" si="98">IF(ISERROR(B136/B$27),"",B136/B$27)</f>
        <v/>
      </c>
      <c r="C137" s="89" t="str">
        <f t="shared" si="98"/>
        <v/>
      </c>
      <c r="D137" s="89">
        <f t="shared" si="98"/>
        <v>-0.77665998629091215</v>
      </c>
      <c r="E137" s="89">
        <f>IF(ISERROR(E136/E$27),"",E136/E$27)</f>
        <v>5.0888389607307405E-2</v>
      </c>
      <c r="F137" s="89">
        <f t="shared" ref="F137:N137" si="99">IF(ISERROR(F136/F$27),"",F136/F$27)</f>
        <v>0.32687230002709938</v>
      </c>
      <c r="G137" s="89">
        <f t="shared" si="99"/>
        <v>0.43124045323235138</v>
      </c>
      <c r="H137" s="89">
        <f t="shared" si="99"/>
        <v>0.52251223279234982</v>
      </c>
      <c r="I137" s="89">
        <f t="shared" si="99"/>
        <v>0.58183298824454599</v>
      </c>
      <c r="J137" s="89">
        <f t="shared" si="99"/>
        <v>0.62625305690131616</v>
      </c>
      <c r="K137" s="89">
        <f t="shared" si="99"/>
        <v>0.65646986790390893</v>
      </c>
      <c r="L137" s="89">
        <f t="shared" si="99"/>
        <v>0.68480321083124185</v>
      </c>
      <c r="M137" s="89">
        <f t="shared" si="99"/>
        <v>0.68146084585424094</v>
      </c>
      <c r="N137" s="164">
        <f t="shared" si="99"/>
        <v>0.49555964664148022</v>
      </c>
      <c r="O137" s="89">
        <f t="shared" ref="O137:AA137" si="100">IF(ISERROR(O136/O$27),"",O136/O$27)</f>
        <v>0.67357584135748405</v>
      </c>
      <c r="P137" s="89">
        <f t="shared" si="100"/>
        <v>0.67357584135748405</v>
      </c>
      <c r="Q137" s="89">
        <f t="shared" si="100"/>
        <v>0.67357584135748405</v>
      </c>
      <c r="R137" s="89">
        <f t="shared" si="100"/>
        <v>0.67357584135748405</v>
      </c>
      <c r="S137" s="89">
        <f t="shared" si="100"/>
        <v>0.67360674326134684</v>
      </c>
      <c r="T137" s="89">
        <f t="shared" si="100"/>
        <v>0.67360674326134684</v>
      </c>
      <c r="U137" s="89">
        <f t="shared" si="100"/>
        <v>0.67360674326134684</v>
      </c>
      <c r="V137" s="89">
        <f t="shared" si="100"/>
        <v>0.67360674326134684</v>
      </c>
      <c r="W137" s="89">
        <f t="shared" si="100"/>
        <v>0.67360674326134684</v>
      </c>
      <c r="X137" s="89">
        <f t="shared" si="100"/>
        <v>0.67360674326134684</v>
      </c>
      <c r="Y137" s="89">
        <f t="shared" si="100"/>
        <v>0.67360674326134684</v>
      </c>
      <c r="Z137" s="89">
        <f t="shared" si="100"/>
        <v>0.67360674326134684</v>
      </c>
      <c r="AA137" s="89">
        <f t="shared" si="100"/>
        <v>0.67359644262672591</v>
      </c>
      <c r="AB137" s="164">
        <f t="shared" ref="AB137:AD137" si="101">IF(ISERROR(AB136/AB$27),"",AB136/AB$27)</f>
        <v>0.6728627952475591</v>
      </c>
      <c r="AC137" s="164">
        <f t="shared" si="101"/>
        <v>0.66591746402889329</v>
      </c>
      <c r="AD137" s="164">
        <f t="shared" si="101"/>
        <v>0.66506658964776733</v>
      </c>
    </row>
    <row r="138" spans="1:36" x14ac:dyDescent="0.2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165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173"/>
      <c r="AC138" s="173"/>
      <c r="AD138" s="173"/>
    </row>
    <row r="139" spans="1:36" x14ac:dyDescent="0.2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165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173"/>
      <c r="AC139" s="173"/>
      <c r="AD139" s="173"/>
    </row>
    <row r="140" spans="1:36" x14ac:dyDescent="0.2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165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173"/>
      <c r="AC140" s="173"/>
      <c r="AD140" s="173"/>
    </row>
    <row r="141" spans="1:36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165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173"/>
      <c r="AC141" s="173"/>
      <c r="AD141" s="173"/>
    </row>
    <row r="142" spans="1:36" x14ac:dyDescent="0.2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165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173"/>
      <c r="AC142" s="173"/>
      <c r="AD142" s="173"/>
    </row>
    <row r="143" spans="1:36" x14ac:dyDescent="0.2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165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173"/>
      <c r="AC143" s="173"/>
      <c r="AD143" s="173"/>
    </row>
    <row r="144" spans="1:36" x14ac:dyDescent="0.2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165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173"/>
      <c r="AC144" s="173"/>
      <c r="AD144" s="173"/>
    </row>
    <row r="145" spans="2:30" x14ac:dyDescent="0.2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165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173"/>
      <c r="AC145" s="173"/>
      <c r="AD145" s="173"/>
    </row>
    <row r="146" spans="2:30" x14ac:dyDescent="0.2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165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173"/>
      <c r="AC146" s="173"/>
      <c r="AD146" s="173"/>
    </row>
    <row r="147" spans="2:30" x14ac:dyDescent="0.2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165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173"/>
      <c r="AC147" s="173"/>
      <c r="AD147" s="173"/>
    </row>
    <row r="148" spans="2:30" x14ac:dyDescent="0.2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165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173"/>
      <c r="AC148" s="173"/>
      <c r="AD148" s="173"/>
    </row>
    <row r="149" spans="2:30" x14ac:dyDescent="0.2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165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173"/>
      <c r="AC149" s="173"/>
      <c r="AD149" s="173"/>
    </row>
    <row r="150" spans="2:30" x14ac:dyDescent="0.2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165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173"/>
      <c r="AC150" s="173"/>
      <c r="AD150" s="173"/>
    </row>
    <row r="151" spans="2:30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165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173"/>
      <c r="AC151" s="173"/>
      <c r="AD151" s="173"/>
    </row>
    <row r="152" spans="2:30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165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173"/>
      <c r="AC152" s="173"/>
      <c r="AD152" s="173"/>
    </row>
    <row r="153" spans="2:30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165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173"/>
      <c r="AC153" s="173"/>
      <c r="AD153" s="173"/>
    </row>
    <row r="154" spans="2:30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165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173"/>
      <c r="AC154" s="173"/>
      <c r="AD154" s="173"/>
    </row>
    <row r="155" spans="2:30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165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173"/>
      <c r="AC155" s="173"/>
      <c r="AD155" s="173"/>
    </row>
    <row r="156" spans="2:30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165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173"/>
      <c r="AC156" s="173"/>
      <c r="AD156" s="173"/>
    </row>
    <row r="157" spans="2:30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165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173"/>
      <c r="AC157" s="173"/>
      <c r="AD157" s="173"/>
    </row>
    <row r="158" spans="2:30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165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173"/>
      <c r="AC158" s="173"/>
      <c r="AD158" s="173"/>
    </row>
    <row r="159" spans="2:30" x14ac:dyDescent="0.2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165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173"/>
      <c r="AC159" s="173"/>
      <c r="AD159" s="173"/>
    </row>
    <row r="160" spans="2:30" x14ac:dyDescent="0.2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165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173"/>
      <c r="AC160" s="173"/>
      <c r="AD160" s="173"/>
    </row>
    <row r="161" spans="2:30" x14ac:dyDescent="0.2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165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173"/>
      <c r="AC161" s="173"/>
      <c r="AD161" s="173"/>
    </row>
    <row r="162" spans="2:30" x14ac:dyDescent="0.2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165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173"/>
      <c r="AC162" s="173"/>
      <c r="AD162" s="173"/>
    </row>
    <row r="163" spans="2:30" x14ac:dyDescent="0.2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165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173"/>
      <c r="AC163" s="173"/>
      <c r="AD163" s="173"/>
    </row>
    <row r="164" spans="2:30" x14ac:dyDescent="0.2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165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173"/>
      <c r="AC164" s="173"/>
      <c r="AD164" s="173"/>
    </row>
    <row r="165" spans="2:30" x14ac:dyDescent="0.2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165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173"/>
      <c r="AC165" s="173"/>
      <c r="AD165" s="173"/>
    </row>
    <row r="166" spans="2:30" x14ac:dyDescent="0.2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165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173"/>
      <c r="AC166" s="173"/>
      <c r="AD166" s="173"/>
    </row>
    <row r="167" spans="2:30" x14ac:dyDescent="0.2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165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173"/>
      <c r="AC167" s="173"/>
      <c r="AD167" s="173"/>
    </row>
    <row r="168" spans="2:30" x14ac:dyDescent="0.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165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173"/>
      <c r="AC168" s="173"/>
      <c r="AD168" s="173"/>
    </row>
    <row r="169" spans="2:30" x14ac:dyDescent="0.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165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173"/>
      <c r="AC169" s="173"/>
      <c r="AD169" s="173"/>
    </row>
    <row r="170" spans="2:30" x14ac:dyDescent="0.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165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173"/>
      <c r="AC170" s="173"/>
      <c r="AD170" s="173"/>
    </row>
    <row r="171" spans="2:30" x14ac:dyDescent="0.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165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173"/>
      <c r="AC171" s="173"/>
      <c r="AD171" s="173"/>
    </row>
    <row r="172" spans="2:30" x14ac:dyDescent="0.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165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173"/>
      <c r="AC172" s="173"/>
      <c r="AD172" s="173"/>
    </row>
    <row r="173" spans="2:30" x14ac:dyDescent="0.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165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173"/>
      <c r="AC173" s="173"/>
      <c r="AD173" s="173"/>
    </row>
    <row r="174" spans="2:30" x14ac:dyDescent="0.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165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173"/>
      <c r="AC174" s="173"/>
      <c r="AD174" s="173"/>
    </row>
    <row r="175" spans="2:30" x14ac:dyDescent="0.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165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173"/>
      <c r="AC175" s="173"/>
      <c r="AD175" s="173"/>
    </row>
    <row r="176" spans="2:30" x14ac:dyDescent="0.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165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173"/>
      <c r="AC176" s="173"/>
      <c r="AD176" s="173"/>
    </row>
    <row r="177" spans="2:30" x14ac:dyDescent="0.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165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173"/>
      <c r="AC177" s="173"/>
      <c r="AD177" s="173"/>
    </row>
    <row r="178" spans="2:30" x14ac:dyDescent="0.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165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173"/>
      <c r="AC178" s="173"/>
      <c r="AD178" s="173"/>
    </row>
    <row r="179" spans="2:30" x14ac:dyDescent="0.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165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173"/>
      <c r="AC179" s="173"/>
      <c r="AD179" s="173"/>
    </row>
    <row r="180" spans="2:30" x14ac:dyDescent="0.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165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173"/>
      <c r="AC180" s="173"/>
      <c r="AD180" s="173"/>
    </row>
    <row r="181" spans="2:30" x14ac:dyDescent="0.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165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173"/>
      <c r="AC181" s="173"/>
      <c r="AD181" s="173"/>
    </row>
    <row r="182" spans="2:30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165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173"/>
      <c r="AC182" s="173"/>
      <c r="AD182" s="173"/>
    </row>
    <row r="183" spans="2:30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165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173"/>
      <c r="AC183" s="173"/>
      <c r="AD183" s="173"/>
    </row>
    <row r="184" spans="2:30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165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173"/>
      <c r="AC184" s="173"/>
      <c r="AD184" s="173"/>
    </row>
    <row r="185" spans="2:30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165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173"/>
      <c r="AC185" s="173"/>
      <c r="AD185" s="173"/>
    </row>
    <row r="186" spans="2:30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165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173"/>
      <c r="AC186" s="173"/>
      <c r="AD186" s="173"/>
    </row>
    <row r="187" spans="2:30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165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173"/>
      <c r="AC187" s="173"/>
      <c r="AD187" s="173"/>
    </row>
    <row r="188" spans="2:30" x14ac:dyDescent="0.2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165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173"/>
      <c r="AC188" s="173"/>
      <c r="AD188" s="173"/>
    </row>
    <row r="189" spans="2:30" x14ac:dyDescent="0.2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165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173"/>
      <c r="AC189" s="173"/>
      <c r="AD189" s="173"/>
    </row>
    <row r="190" spans="2:30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165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173"/>
      <c r="AC190" s="173"/>
      <c r="AD190" s="173"/>
    </row>
    <row r="191" spans="2:30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165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173"/>
      <c r="AC191" s="173"/>
      <c r="AD191" s="173"/>
    </row>
    <row r="192" spans="2:30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165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173"/>
      <c r="AC192" s="173"/>
      <c r="AD192" s="173"/>
    </row>
    <row r="193" spans="2:30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165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173"/>
      <c r="AC193" s="173"/>
      <c r="AD193" s="173"/>
    </row>
    <row r="194" spans="2:30" x14ac:dyDescent="0.2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165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173"/>
      <c r="AC194" s="173"/>
      <c r="AD194" s="173"/>
    </row>
    <row r="195" spans="2:30" x14ac:dyDescent="0.2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165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173"/>
      <c r="AC195" s="173"/>
      <c r="AD195" s="173"/>
    </row>
    <row r="196" spans="2:30" x14ac:dyDescent="0.2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165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173"/>
      <c r="AC196" s="173"/>
      <c r="AD196" s="173"/>
    </row>
    <row r="197" spans="2:30" x14ac:dyDescent="0.2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165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173"/>
      <c r="AC197" s="173"/>
      <c r="AD197" s="173"/>
    </row>
    <row r="198" spans="2:30" x14ac:dyDescent="0.2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165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173"/>
      <c r="AC198" s="173"/>
      <c r="AD198" s="173"/>
    </row>
    <row r="199" spans="2:30" x14ac:dyDescent="0.2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165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173"/>
      <c r="AC199" s="173"/>
      <c r="AD199" s="173"/>
    </row>
    <row r="200" spans="2:30" x14ac:dyDescent="0.2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165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173"/>
      <c r="AC200" s="173"/>
      <c r="AD200" s="173"/>
    </row>
    <row r="201" spans="2:30" x14ac:dyDescent="0.2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165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173"/>
      <c r="AC201" s="173"/>
      <c r="AD201" s="173"/>
    </row>
    <row r="202" spans="2:30" x14ac:dyDescent="0.2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165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173"/>
      <c r="AC202" s="173"/>
      <c r="AD202" s="173"/>
    </row>
    <row r="203" spans="2:30" x14ac:dyDescent="0.2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165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173"/>
      <c r="AC203" s="173"/>
      <c r="AD203" s="173"/>
    </row>
    <row r="204" spans="2:30" x14ac:dyDescent="0.2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165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173"/>
      <c r="AC204" s="173"/>
      <c r="AD204" s="173"/>
    </row>
    <row r="205" spans="2:30" x14ac:dyDescent="0.2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165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173"/>
      <c r="AC205" s="173"/>
      <c r="AD205" s="173"/>
    </row>
    <row r="206" spans="2:30" x14ac:dyDescent="0.2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165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173"/>
      <c r="AC206" s="173"/>
      <c r="AD206" s="173"/>
    </row>
    <row r="207" spans="2:30" x14ac:dyDescent="0.2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165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173"/>
      <c r="AC207" s="173"/>
      <c r="AD207" s="173"/>
    </row>
    <row r="208" spans="2:30" x14ac:dyDescent="0.2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165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173"/>
      <c r="AC208" s="173"/>
      <c r="AD208" s="173"/>
    </row>
    <row r="209" spans="2:30" x14ac:dyDescent="0.2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165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173"/>
      <c r="AC209" s="173"/>
      <c r="AD209" s="173"/>
    </row>
    <row r="210" spans="2:30" x14ac:dyDescent="0.2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165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173"/>
      <c r="AC210" s="173"/>
      <c r="AD210" s="173"/>
    </row>
    <row r="211" spans="2:30" x14ac:dyDescent="0.2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165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173"/>
      <c r="AC211" s="173"/>
      <c r="AD211" s="173"/>
    </row>
    <row r="212" spans="2:30" x14ac:dyDescent="0.2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165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173"/>
      <c r="AC212" s="173"/>
      <c r="AD212" s="173"/>
    </row>
    <row r="213" spans="2:30" x14ac:dyDescent="0.2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165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173"/>
      <c r="AC213" s="173"/>
      <c r="AD213" s="173"/>
    </row>
    <row r="214" spans="2:30" x14ac:dyDescent="0.2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165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173"/>
      <c r="AC214" s="173"/>
      <c r="AD214" s="173"/>
    </row>
    <row r="215" spans="2:30" x14ac:dyDescent="0.2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165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173"/>
      <c r="AC215" s="173"/>
      <c r="AD215" s="173"/>
    </row>
    <row r="216" spans="2:30" x14ac:dyDescent="0.2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165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173"/>
      <c r="AC216" s="173"/>
      <c r="AD216" s="173"/>
    </row>
    <row r="217" spans="2:30" x14ac:dyDescent="0.2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165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173"/>
      <c r="AC217" s="173"/>
      <c r="AD217" s="173"/>
    </row>
    <row r="218" spans="2:30" x14ac:dyDescent="0.2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165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173"/>
      <c r="AC218" s="173"/>
      <c r="AD218" s="173"/>
    </row>
    <row r="219" spans="2:30" x14ac:dyDescent="0.2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165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173"/>
      <c r="AC219" s="173"/>
      <c r="AD219" s="173"/>
    </row>
    <row r="220" spans="2:30" x14ac:dyDescent="0.2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165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173"/>
      <c r="AC220" s="173"/>
      <c r="AD220" s="173"/>
    </row>
    <row r="221" spans="2:30" x14ac:dyDescent="0.2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165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173"/>
      <c r="AC221" s="173"/>
      <c r="AD221" s="173"/>
    </row>
    <row r="222" spans="2:30" x14ac:dyDescent="0.2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165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173"/>
      <c r="AC222" s="173"/>
      <c r="AD222" s="173"/>
    </row>
    <row r="223" spans="2:30" x14ac:dyDescent="0.2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165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173"/>
      <c r="AC223" s="173"/>
      <c r="AD223" s="173"/>
    </row>
    <row r="224" spans="2:30" x14ac:dyDescent="0.2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165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173"/>
      <c r="AC224" s="173"/>
      <c r="AD224" s="173"/>
    </row>
    <row r="225" spans="2:30" x14ac:dyDescent="0.2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165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173"/>
      <c r="AC225" s="173"/>
      <c r="AD225" s="173"/>
    </row>
    <row r="226" spans="2:30" x14ac:dyDescent="0.2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165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173"/>
      <c r="AC226" s="173"/>
      <c r="AD226" s="173"/>
    </row>
    <row r="227" spans="2:30" x14ac:dyDescent="0.2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165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173"/>
      <c r="AC227" s="173"/>
      <c r="AD227" s="173"/>
    </row>
    <row r="228" spans="2:30" x14ac:dyDescent="0.2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165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173"/>
      <c r="AC228" s="173"/>
      <c r="AD228" s="173"/>
    </row>
    <row r="229" spans="2:30" x14ac:dyDescent="0.2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165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173"/>
      <c r="AC229" s="173"/>
      <c r="AD229" s="173"/>
    </row>
    <row r="230" spans="2:30" x14ac:dyDescent="0.2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165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173"/>
      <c r="AC230" s="173"/>
      <c r="AD230" s="173"/>
    </row>
    <row r="231" spans="2:30" x14ac:dyDescent="0.2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165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173"/>
      <c r="AC231" s="173"/>
      <c r="AD231" s="173"/>
    </row>
    <row r="232" spans="2:30" x14ac:dyDescent="0.2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165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173"/>
      <c r="AC232" s="173"/>
      <c r="AD232" s="173"/>
    </row>
    <row r="233" spans="2:30" x14ac:dyDescent="0.2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165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173"/>
      <c r="AC233" s="173"/>
      <c r="AD233" s="173"/>
    </row>
    <row r="234" spans="2:30" x14ac:dyDescent="0.2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165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173"/>
      <c r="AC234" s="173"/>
      <c r="AD234" s="173"/>
    </row>
    <row r="235" spans="2:30" x14ac:dyDescent="0.2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165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173"/>
      <c r="AC235" s="173"/>
      <c r="AD235" s="173"/>
    </row>
    <row r="236" spans="2:30" x14ac:dyDescent="0.2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165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173"/>
      <c r="AC236" s="173"/>
      <c r="AD236" s="173"/>
    </row>
    <row r="237" spans="2:30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165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173"/>
      <c r="AC237" s="173"/>
      <c r="AD237" s="173"/>
    </row>
    <row r="238" spans="2:30" x14ac:dyDescent="0.2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165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173"/>
      <c r="AC238" s="173"/>
      <c r="AD238" s="173"/>
    </row>
    <row r="239" spans="2:30" x14ac:dyDescent="0.2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165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173"/>
      <c r="AC239" s="173"/>
      <c r="AD239" s="173"/>
    </row>
    <row r="240" spans="2:30" x14ac:dyDescent="0.2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165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173"/>
      <c r="AC240" s="173"/>
      <c r="AD240" s="173"/>
    </row>
    <row r="241" spans="2:30" x14ac:dyDescent="0.2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165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173"/>
      <c r="AC241" s="173"/>
      <c r="AD241" s="173"/>
    </row>
    <row r="242" spans="2:30" x14ac:dyDescent="0.2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165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173"/>
      <c r="AC242" s="173"/>
      <c r="AD242" s="173"/>
    </row>
    <row r="243" spans="2:30" x14ac:dyDescent="0.2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165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173"/>
      <c r="AC243" s="173"/>
      <c r="AD243" s="173"/>
    </row>
    <row r="244" spans="2:30" x14ac:dyDescent="0.2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165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173"/>
      <c r="AC244" s="173"/>
      <c r="AD244" s="173"/>
    </row>
    <row r="245" spans="2:30" x14ac:dyDescent="0.2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165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173"/>
      <c r="AC245" s="173"/>
      <c r="AD245" s="173"/>
    </row>
    <row r="246" spans="2:30" x14ac:dyDescent="0.2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165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173"/>
      <c r="AC246" s="173"/>
      <c r="AD246" s="173"/>
    </row>
    <row r="247" spans="2:30" x14ac:dyDescent="0.2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165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173"/>
      <c r="AC247" s="173"/>
      <c r="AD247" s="173"/>
    </row>
    <row r="248" spans="2:30" x14ac:dyDescent="0.2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165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173"/>
      <c r="AC248" s="173"/>
      <c r="AD248" s="173"/>
    </row>
    <row r="249" spans="2:30" x14ac:dyDescent="0.2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165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173"/>
      <c r="AC249" s="173"/>
      <c r="AD249" s="173"/>
    </row>
    <row r="250" spans="2:30" x14ac:dyDescent="0.2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165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173"/>
      <c r="AC250" s="173"/>
      <c r="AD250" s="173"/>
    </row>
    <row r="251" spans="2:30" x14ac:dyDescent="0.2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165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173"/>
      <c r="AC251" s="173"/>
      <c r="AD251" s="173"/>
    </row>
    <row r="252" spans="2:30" x14ac:dyDescent="0.2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165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173"/>
      <c r="AC252" s="173"/>
      <c r="AD252" s="173"/>
    </row>
    <row r="253" spans="2:30" x14ac:dyDescent="0.2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165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173"/>
      <c r="AC253" s="173"/>
      <c r="AD253" s="173"/>
    </row>
    <row r="254" spans="2:30" x14ac:dyDescent="0.2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165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173"/>
      <c r="AC254" s="173"/>
      <c r="AD254" s="173"/>
    </row>
    <row r="255" spans="2:30" x14ac:dyDescent="0.2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165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173"/>
      <c r="AC255" s="173"/>
      <c r="AD255" s="173"/>
    </row>
    <row r="256" spans="2:30" x14ac:dyDescent="0.2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165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173"/>
      <c r="AC256" s="173"/>
      <c r="AD256" s="173"/>
    </row>
    <row r="257" spans="2:30" x14ac:dyDescent="0.2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165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173"/>
      <c r="AC257" s="173"/>
      <c r="AD257" s="173"/>
    </row>
    <row r="258" spans="2:30" x14ac:dyDescent="0.2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165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173"/>
      <c r="AC258" s="173"/>
      <c r="AD258" s="173"/>
    </row>
    <row r="259" spans="2:30" x14ac:dyDescent="0.2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165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173"/>
      <c r="AC259" s="173"/>
      <c r="AD259" s="173"/>
    </row>
    <row r="260" spans="2:30" x14ac:dyDescent="0.2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165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173"/>
      <c r="AC260" s="173"/>
      <c r="AD260" s="173"/>
    </row>
    <row r="261" spans="2:30" x14ac:dyDescent="0.2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165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173"/>
      <c r="AC261" s="173"/>
      <c r="AD261" s="173"/>
    </row>
    <row r="262" spans="2:30" x14ac:dyDescent="0.2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165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173"/>
      <c r="AC262" s="173"/>
      <c r="AD262" s="173"/>
    </row>
    <row r="263" spans="2:30" x14ac:dyDescent="0.2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165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173"/>
      <c r="AC263" s="173"/>
      <c r="AD263" s="173"/>
    </row>
    <row r="264" spans="2:30" x14ac:dyDescent="0.2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165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173"/>
      <c r="AC264" s="173"/>
      <c r="AD264" s="173"/>
    </row>
    <row r="265" spans="2:30" x14ac:dyDescent="0.2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165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173"/>
      <c r="AC265" s="173"/>
      <c r="AD265" s="173"/>
    </row>
    <row r="266" spans="2:30" x14ac:dyDescent="0.2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165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173"/>
      <c r="AC266" s="173"/>
      <c r="AD266" s="173"/>
    </row>
    <row r="267" spans="2:30" x14ac:dyDescent="0.2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165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173"/>
      <c r="AC267" s="173"/>
      <c r="AD267" s="173"/>
    </row>
    <row r="268" spans="2:30" x14ac:dyDescent="0.2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165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173"/>
      <c r="AC268" s="173"/>
      <c r="AD268" s="173"/>
    </row>
    <row r="269" spans="2:30" x14ac:dyDescent="0.2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165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173"/>
      <c r="AC269" s="173"/>
      <c r="AD269" s="173"/>
    </row>
    <row r="270" spans="2:30" x14ac:dyDescent="0.2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165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173"/>
      <c r="AC270" s="173"/>
      <c r="AD270" s="173"/>
    </row>
    <row r="271" spans="2:30" x14ac:dyDescent="0.2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165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173"/>
      <c r="AC271" s="173"/>
      <c r="AD271" s="173"/>
    </row>
  </sheetData>
  <sheetProtection formatCells="0" formatColumns="0" formatRows="0"/>
  <phoneticPr fontId="0" type="noConversion"/>
  <printOptions headings="1"/>
  <pageMargins left="0.17" right="0.23" top="0.5" bottom="0.28999999999999998" header="0.25" footer="0.06"/>
  <pageSetup scale="70" fitToWidth="3" fitToHeight="8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26A2-9E5C-4EF7-8B5D-651A5612E0F5}">
  <sheetPr>
    <tabColor rgb="FFFF0000"/>
  </sheetPr>
  <dimension ref="A1:AC109"/>
  <sheetViews>
    <sheetView workbookViewId="0">
      <selection activeCell="B7" sqref="B7"/>
    </sheetView>
  </sheetViews>
  <sheetFormatPr defaultRowHeight="12.75" x14ac:dyDescent="0.2"/>
  <cols>
    <col min="1" max="1" width="20.7109375" customWidth="1"/>
    <col min="2" max="2" width="14.140625" style="123" bestFit="1" customWidth="1"/>
    <col min="3" max="3" width="13.140625" bestFit="1" customWidth="1"/>
    <col min="4" max="4" width="10.140625" customWidth="1"/>
    <col min="5" max="5" width="10.42578125" bestFit="1" customWidth="1"/>
    <col min="8" max="8" width="10.28515625" bestFit="1" customWidth="1"/>
    <col min="9" max="9" width="9.28515625" bestFit="1" customWidth="1"/>
    <col min="10" max="10" width="10.28515625" bestFit="1" customWidth="1"/>
    <col min="11" max="11" width="9.28515625" bestFit="1" customWidth="1"/>
    <col min="14" max="15" width="0.5703125" customWidth="1"/>
    <col min="17" max="18" width="11.85546875" bestFit="1" customWidth="1"/>
    <col min="19" max="19" width="11.28515625" bestFit="1" customWidth="1"/>
  </cols>
  <sheetData>
    <row r="1" spans="1:18" x14ac:dyDescent="0.2">
      <c r="A1" s="152" t="str">
        <f>'FSS Phase 1 P&amp;L'!A1</f>
        <v>FRONTIER - ILM Phase 1</v>
      </c>
    </row>
    <row r="2" spans="1:18" x14ac:dyDescent="0.2">
      <c r="A2" s="122" t="s">
        <v>148</v>
      </c>
    </row>
    <row r="3" spans="1:18" x14ac:dyDescent="0.2">
      <c r="A3" s="122" t="s">
        <v>256</v>
      </c>
    </row>
    <row r="4" spans="1:18" x14ac:dyDescent="0.2">
      <c r="A4" s="122"/>
    </row>
    <row r="6" spans="1:18" s="126" customFormat="1" ht="36.75" thickBot="1" x14ac:dyDescent="0.25">
      <c r="A6" s="126" t="s">
        <v>150</v>
      </c>
      <c r="B6" s="127"/>
      <c r="C6" s="126" t="s">
        <v>154</v>
      </c>
      <c r="D6" s="126" t="s">
        <v>430</v>
      </c>
      <c r="E6" s="126" t="s">
        <v>156</v>
      </c>
      <c r="F6" s="126" t="s">
        <v>157</v>
      </c>
    </row>
    <row r="7" spans="1:18" ht="13.5" thickBot="1" x14ac:dyDescent="0.25">
      <c r="A7" s="122" t="s">
        <v>155</v>
      </c>
      <c r="B7" s="124">
        <v>1</v>
      </c>
      <c r="C7" s="123">
        <v>500000</v>
      </c>
      <c r="D7" s="123">
        <v>63500</v>
      </c>
      <c r="H7" s="287" t="s">
        <v>432</v>
      </c>
      <c r="I7" s="288"/>
      <c r="J7" s="287" t="s">
        <v>433</v>
      </c>
      <c r="K7" s="288"/>
    </row>
    <row r="8" spans="1:18" x14ac:dyDescent="0.2">
      <c r="H8" s="199" t="s">
        <v>435</v>
      </c>
      <c r="I8" s="200" t="s">
        <v>434</v>
      </c>
      <c r="J8" s="200" t="s">
        <v>435</v>
      </c>
      <c r="K8" s="201" t="s">
        <v>434</v>
      </c>
    </row>
    <row r="9" spans="1:18" x14ac:dyDescent="0.2">
      <c r="A9" s="122" t="s">
        <v>425</v>
      </c>
      <c r="B9" s="124">
        <v>0.3</v>
      </c>
      <c r="C9" s="125">
        <v>124000</v>
      </c>
      <c r="D9" s="125">
        <f>H9+J9</f>
        <v>18000</v>
      </c>
      <c r="E9" s="198">
        <f>((H9*I9)+(J9*K9))/D9</f>
        <v>144.44444444444446</v>
      </c>
      <c r="F9" s="128">
        <v>0</v>
      </c>
      <c r="G9" s="176"/>
      <c r="H9" s="202">
        <v>8000</v>
      </c>
      <c r="I9" s="203">
        <v>168.75</v>
      </c>
      <c r="J9" s="204">
        <v>10000</v>
      </c>
      <c r="K9" s="205">
        <v>125</v>
      </c>
    </row>
    <row r="10" spans="1:18" x14ac:dyDescent="0.2">
      <c r="A10" s="122" t="s">
        <v>152</v>
      </c>
      <c r="B10" s="124">
        <v>0.5</v>
      </c>
      <c r="C10" s="125">
        <v>260000</v>
      </c>
      <c r="D10" s="125">
        <f t="shared" ref="D10:D12" si="0">H10+J10</f>
        <v>40500</v>
      </c>
      <c r="E10" s="198">
        <f>((H10*I10)+(J10*K10))/D10</f>
        <v>264.1358024691358</v>
      </c>
      <c r="F10" s="128">
        <v>0</v>
      </c>
      <c r="H10" s="202">
        <v>22000</v>
      </c>
      <c r="I10" s="203">
        <v>255</v>
      </c>
      <c r="J10" s="204">
        <v>18500</v>
      </c>
      <c r="K10" s="205">
        <v>275</v>
      </c>
      <c r="Q10" s="125"/>
    </row>
    <row r="11" spans="1:18" x14ac:dyDescent="0.2">
      <c r="A11" s="122" t="s">
        <v>160</v>
      </c>
      <c r="B11" s="124">
        <v>0.18</v>
      </c>
      <c r="C11" s="125">
        <f>32000-C12</f>
        <v>27150</v>
      </c>
      <c r="D11" s="125">
        <f t="shared" si="0"/>
        <v>5000</v>
      </c>
      <c r="E11" s="198">
        <f>((H11*I11)+(J11*K11))/D11</f>
        <v>500</v>
      </c>
      <c r="F11" s="128">
        <v>0</v>
      </c>
      <c r="H11" s="202"/>
      <c r="I11" s="204"/>
      <c r="J11" s="204">
        <v>5000</v>
      </c>
      <c r="K11" s="205">
        <v>500</v>
      </c>
      <c r="Q11" s="210"/>
      <c r="R11" s="214"/>
    </row>
    <row r="12" spans="1:18" ht="13.5" thickBot="1" x14ac:dyDescent="0.25">
      <c r="A12" s="122" t="s">
        <v>431</v>
      </c>
      <c r="B12" s="124">
        <v>0.02</v>
      </c>
      <c r="C12" s="125">
        <v>4850</v>
      </c>
      <c r="D12" s="125">
        <f t="shared" si="0"/>
        <v>21000</v>
      </c>
      <c r="E12" s="198">
        <f>((H12*I12)+(J12*K12))/D12</f>
        <v>100</v>
      </c>
      <c r="F12" s="128">
        <v>0</v>
      </c>
      <c r="H12" s="206"/>
      <c r="I12" s="207"/>
      <c r="J12" s="207">
        <v>21000</v>
      </c>
      <c r="K12" s="208">
        <v>100</v>
      </c>
    </row>
    <row r="13" spans="1:18" x14ac:dyDescent="0.2">
      <c r="A13" s="122"/>
      <c r="B13" s="124"/>
      <c r="C13" s="125"/>
      <c r="D13" s="125"/>
      <c r="E13" s="198"/>
      <c r="F13" s="128"/>
      <c r="H13" s="204"/>
      <c r="I13" s="204"/>
      <c r="J13" s="204"/>
      <c r="K13" s="203"/>
      <c r="Q13" s="211"/>
      <c r="R13" s="211"/>
    </row>
    <row r="14" spans="1:18" x14ac:dyDescent="0.2">
      <c r="A14" s="152" t="s">
        <v>439</v>
      </c>
      <c r="B14" s="124"/>
      <c r="C14" s="125"/>
      <c r="D14" s="125"/>
      <c r="E14" s="198"/>
      <c r="F14" s="128"/>
      <c r="H14" s="204"/>
      <c r="I14" s="204"/>
      <c r="J14" s="204"/>
      <c r="K14" s="203"/>
      <c r="Q14" s="212"/>
      <c r="R14" s="212"/>
    </row>
    <row r="15" spans="1:18" x14ac:dyDescent="0.2">
      <c r="A15" s="122" t="s">
        <v>440</v>
      </c>
      <c r="B15" s="198">
        <v>20</v>
      </c>
      <c r="C15" s="192" t="s">
        <v>443</v>
      </c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8" x14ac:dyDescent="0.2">
      <c r="A16" s="122" t="s">
        <v>441</v>
      </c>
      <c r="B16" s="198">
        <v>20</v>
      </c>
      <c r="C16" s="192" t="s">
        <v>443</v>
      </c>
      <c r="D16" s="125"/>
      <c r="E16" s="198"/>
      <c r="F16" s="198"/>
      <c r="G16" s="198"/>
      <c r="H16" s="198"/>
      <c r="I16" s="198"/>
      <c r="J16" s="198"/>
      <c r="K16" s="198"/>
      <c r="L16" s="198"/>
      <c r="Q16" s="213"/>
      <c r="R16" s="213"/>
    </row>
    <row r="17" spans="1:29" x14ac:dyDescent="0.2">
      <c r="A17" s="122" t="s">
        <v>442</v>
      </c>
      <c r="B17" s="137">
        <v>3.5</v>
      </c>
      <c r="C17" s="125"/>
      <c r="D17" s="125"/>
      <c r="E17" s="198"/>
      <c r="F17" s="198"/>
      <c r="G17" s="198"/>
      <c r="H17" s="198"/>
      <c r="I17" s="198"/>
      <c r="J17" s="198"/>
      <c r="K17" s="198"/>
      <c r="L17" s="198"/>
      <c r="Q17" s="213"/>
      <c r="R17" s="213"/>
      <c r="S17" s="213"/>
    </row>
    <row r="18" spans="1:29" x14ac:dyDescent="0.2">
      <c r="A18" s="122" t="s">
        <v>454</v>
      </c>
      <c r="B18" s="215">
        <f>ROUND(20/27,2)</f>
        <v>0.74</v>
      </c>
      <c r="C18" s="123"/>
      <c r="D18" s="125"/>
      <c r="E18" s="125"/>
      <c r="F18" s="125"/>
      <c r="G18" s="125"/>
      <c r="H18" s="125"/>
      <c r="I18" s="125"/>
      <c r="J18" s="125"/>
      <c r="K18" s="125"/>
      <c r="L18" s="125"/>
      <c r="Q18" s="213"/>
      <c r="R18" s="213"/>
      <c r="S18" s="213"/>
    </row>
    <row r="19" spans="1:29" x14ac:dyDescent="0.2">
      <c r="A19" s="122"/>
      <c r="B19" s="124"/>
      <c r="C19" s="125"/>
      <c r="D19" s="125"/>
      <c r="E19" s="198"/>
      <c r="F19" s="128"/>
      <c r="H19" s="204"/>
      <c r="I19" s="204"/>
      <c r="J19" s="204"/>
      <c r="K19" s="203"/>
    </row>
    <row r="21" spans="1:29" x14ac:dyDescent="0.2">
      <c r="A21" s="152" t="s">
        <v>279</v>
      </c>
    </row>
    <row r="22" spans="1:29" s="126" customFormat="1" x14ac:dyDescent="0.2">
      <c r="A22" s="152" t="s">
        <v>125</v>
      </c>
      <c r="B22" s="126">
        <v>1</v>
      </c>
      <c r="C22" s="126">
        <v>2</v>
      </c>
      <c r="D22" s="126">
        <v>3</v>
      </c>
      <c r="E22" s="126">
        <v>4</v>
      </c>
      <c r="F22" s="126">
        <v>5</v>
      </c>
      <c r="G22" s="126">
        <v>6</v>
      </c>
      <c r="H22" s="126">
        <v>7</v>
      </c>
      <c r="I22" s="126">
        <v>8</v>
      </c>
      <c r="J22" s="126">
        <v>9</v>
      </c>
      <c r="K22" s="126">
        <v>10</v>
      </c>
      <c r="L22" s="126">
        <v>11</v>
      </c>
      <c r="M22" s="126">
        <v>12</v>
      </c>
    </row>
    <row r="23" spans="1:29" x14ac:dyDescent="0.2">
      <c r="A23" s="122" t="s">
        <v>158</v>
      </c>
      <c r="B23" s="124">
        <v>0</v>
      </c>
      <c r="C23" s="124">
        <v>0</v>
      </c>
      <c r="D23" s="124">
        <v>0.1</v>
      </c>
      <c r="E23" s="124">
        <v>0.2</v>
      </c>
      <c r="F23" s="124">
        <v>0.3</v>
      </c>
      <c r="G23" s="124">
        <v>0.4</v>
      </c>
      <c r="H23" s="124">
        <v>0.5</v>
      </c>
      <c r="I23" s="124">
        <v>0.6</v>
      </c>
      <c r="J23" s="124">
        <v>0.7</v>
      </c>
      <c r="K23" s="124">
        <v>0.8</v>
      </c>
      <c r="L23" s="124">
        <v>0.9</v>
      </c>
      <c r="M23" s="124">
        <v>0.9</v>
      </c>
      <c r="N23" s="124"/>
      <c r="O23" s="124"/>
      <c r="AB23" s="124"/>
      <c r="AC23" s="124"/>
    </row>
    <row r="24" spans="1:29" x14ac:dyDescent="0.2">
      <c r="A24" s="122" t="s">
        <v>159</v>
      </c>
      <c r="B24" s="124">
        <v>0.8</v>
      </c>
      <c r="C24" s="124">
        <v>0.8</v>
      </c>
      <c r="D24" s="124">
        <v>0.8</v>
      </c>
      <c r="E24" s="124">
        <v>0.8</v>
      </c>
      <c r="F24" s="124">
        <v>0.8</v>
      </c>
      <c r="G24" s="124">
        <v>0.8</v>
      </c>
      <c r="H24" s="124">
        <v>0.8</v>
      </c>
      <c r="I24" s="124">
        <v>0.8</v>
      </c>
      <c r="J24" s="124">
        <v>0.8</v>
      </c>
      <c r="K24" s="124">
        <v>0.8</v>
      </c>
      <c r="L24" s="124">
        <v>0.8</v>
      </c>
      <c r="M24" s="124">
        <v>0.8</v>
      </c>
      <c r="N24" s="124">
        <v>1</v>
      </c>
      <c r="O24" s="124">
        <v>1</v>
      </c>
      <c r="AB24" s="124"/>
      <c r="AC24" s="124"/>
    </row>
    <row r="25" spans="1:29" x14ac:dyDescent="0.2">
      <c r="A25" s="122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</row>
    <row r="26" spans="1:29" x14ac:dyDescent="0.2">
      <c r="A26" s="152" t="s">
        <v>125</v>
      </c>
      <c r="B26" s="126">
        <v>1</v>
      </c>
      <c r="C26" s="126">
        <v>2</v>
      </c>
      <c r="D26" s="126">
        <v>3</v>
      </c>
      <c r="E26" s="126">
        <v>4</v>
      </c>
      <c r="F26" s="126">
        <v>5</v>
      </c>
      <c r="G26" s="126">
        <v>6</v>
      </c>
      <c r="H26" s="126">
        <v>7</v>
      </c>
      <c r="I26" s="126">
        <v>8</v>
      </c>
      <c r="J26" s="126">
        <v>9</v>
      </c>
      <c r="K26" s="126">
        <v>10</v>
      </c>
      <c r="L26" s="126">
        <v>11</v>
      </c>
      <c r="M26" s="126">
        <v>12</v>
      </c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</row>
    <row r="27" spans="1:29" x14ac:dyDescent="0.2">
      <c r="A27" s="122" t="s">
        <v>158</v>
      </c>
      <c r="B27" s="124">
        <v>0.9</v>
      </c>
      <c r="C27" s="124">
        <v>0.9</v>
      </c>
      <c r="D27" s="124">
        <v>0.9</v>
      </c>
      <c r="E27" s="124">
        <v>0.9</v>
      </c>
      <c r="F27" s="124">
        <v>0.9</v>
      </c>
      <c r="G27" s="124">
        <v>0.9</v>
      </c>
      <c r="H27" s="124">
        <v>0.9</v>
      </c>
      <c r="I27" s="124">
        <v>0.9</v>
      </c>
      <c r="J27" s="124">
        <v>0.9</v>
      </c>
      <c r="K27" s="124">
        <v>0.9</v>
      </c>
      <c r="L27" s="124">
        <v>0.9</v>
      </c>
      <c r="M27" s="124">
        <v>0.9</v>
      </c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</row>
    <row r="28" spans="1:29" x14ac:dyDescent="0.2">
      <c r="A28" s="122" t="s">
        <v>159</v>
      </c>
      <c r="B28" s="124">
        <v>0.8</v>
      </c>
      <c r="C28" s="124">
        <v>0.8</v>
      </c>
      <c r="D28" s="124">
        <v>0.8</v>
      </c>
      <c r="E28" s="124">
        <v>0.8</v>
      </c>
      <c r="F28" s="124">
        <v>0.8</v>
      </c>
      <c r="G28" s="124">
        <v>0.8</v>
      </c>
      <c r="H28" s="124">
        <v>0.8</v>
      </c>
      <c r="I28" s="124">
        <v>0.8</v>
      </c>
      <c r="J28" s="124">
        <v>0.8</v>
      </c>
      <c r="K28" s="124">
        <v>0.8</v>
      </c>
      <c r="L28" s="124">
        <v>0.8</v>
      </c>
      <c r="M28" s="124">
        <v>0.8</v>
      </c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30" spans="1:29" s="126" customFormat="1" ht="12" x14ac:dyDescent="0.2">
      <c r="B30" s="126" t="s">
        <v>164</v>
      </c>
      <c r="C30" s="126" t="s">
        <v>165</v>
      </c>
      <c r="D30" s="126" t="s">
        <v>166</v>
      </c>
    </row>
    <row r="31" spans="1:29" x14ac:dyDescent="0.2">
      <c r="A31" s="122" t="s">
        <v>167</v>
      </c>
      <c r="B31" s="124">
        <v>0.03</v>
      </c>
      <c r="C31" s="124">
        <v>0.03</v>
      </c>
      <c r="D31" s="124">
        <v>0.03</v>
      </c>
    </row>
    <row r="32" spans="1:29" x14ac:dyDescent="0.2">
      <c r="A32" s="122"/>
      <c r="B32" s="124"/>
      <c r="C32" s="124"/>
      <c r="D32" s="124"/>
    </row>
    <row r="33" spans="1:12" x14ac:dyDescent="0.2">
      <c r="A33" s="152" t="s">
        <v>418</v>
      </c>
      <c r="B33" s="124"/>
      <c r="C33" s="124"/>
      <c r="D33" s="124"/>
    </row>
    <row r="34" spans="1:12" x14ac:dyDescent="0.2">
      <c r="A34" s="122" t="s">
        <v>476</v>
      </c>
      <c r="B34" s="124">
        <v>0.03</v>
      </c>
      <c r="C34" s="124"/>
      <c r="D34" s="124"/>
      <c r="I34" s="289" t="s">
        <v>478</v>
      </c>
      <c r="J34" s="289"/>
      <c r="K34" s="289"/>
      <c r="L34" s="289"/>
    </row>
    <row r="35" spans="1:12" x14ac:dyDescent="0.2">
      <c r="A35" s="122"/>
      <c r="B35" s="124"/>
      <c r="C35" s="124"/>
      <c r="D35" s="124"/>
      <c r="I35" s="289"/>
      <c r="J35" s="289"/>
      <c r="K35" s="289"/>
      <c r="L35" s="289"/>
    </row>
    <row r="36" spans="1:12" x14ac:dyDescent="0.2">
      <c r="A36" s="122"/>
      <c r="B36" s="124"/>
    </row>
    <row r="37" spans="1:12" x14ac:dyDescent="0.2">
      <c r="A37" s="152" t="s">
        <v>215</v>
      </c>
      <c r="B37" s="123">
        <v>2500</v>
      </c>
      <c r="D37" s="124">
        <v>0.03</v>
      </c>
      <c r="E37" s="124">
        <v>0.03</v>
      </c>
      <c r="F37" s="124">
        <v>0.03</v>
      </c>
      <c r="G37" s="124">
        <v>0.03</v>
      </c>
      <c r="I37" s="176" t="s">
        <v>461</v>
      </c>
    </row>
    <row r="38" spans="1:12" x14ac:dyDescent="0.2">
      <c r="A38" s="122"/>
      <c r="B38" s="124"/>
    </row>
    <row r="39" spans="1:12" x14ac:dyDescent="0.2">
      <c r="A39" s="152" t="s">
        <v>214</v>
      </c>
      <c r="C39" s="122"/>
      <c r="I39" s="176" t="s">
        <v>461</v>
      </c>
    </row>
    <row r="40" spans="1:12" x14ac:dyDescent="0.2">
      <c r="A40" s="122" t="s">
        <v>191</v>
      </c>
      <c r="B40" s="123">
        <v>5000</v>
      </c>
      <c r="C40" s="122"/>
      <c r="D40" s="124">
        <v>0.03</v>
      </c>
      <c r="E40" s="124">
        <v>0.03</v>
      </c>
      <c r="F40" s="124">
        <v>0.03</v>
      </c>
      <c r="G40" s="124">
        <v>0.03</v>
      </c>
    </row>
    <row r="41" spans="1:12" x14ac:dyDescent="0.2">
      <c r="A41" s="122" t="s">
        <v>192</v>
      </c>
      <c r="B41" s="123">
        <v>5000</v>
      </c>
      <c r="C41" s="122"/>
      <c r="D41" s="124">
        <v>0.03</v>
      </c>
      <c r="E41" s="124">
        <v>0.03</v>
      </c>
      <c r="F41" s="124">
        <v>0.03</v>
      </c>
      <c r="G41" s="124">
        <v>0.03</v>
      </c>
    </row>
    <row r="42" spans="1:12" x14ac:dyDescent="0.2">
      <c r="A42" s="122"/>
      <c r="C42" s="122"/>
    </row>
    <row r="43" spans="1:12" x14ac:dyDescent="0.2">
      <c r="A43" s="152" t="s">
        <v>218</v>
      </c>
      <c r="B43" s="146" t="s">
        <v>213</v>
      </c>
      <c r="C43" s="122"/>
    </row>
    <row r="44" spans="1:12" x14ac:dyDescent="0.2">
      <c r="A44" s="122" t="s">
        <v>219</v>
      </c>
      <c r="B44" s="123">
        <v>15000</v>
      </c>
      <c r="C44" s="122"/>
      <c r="D44" s="124">
        <v>0.03</v>
      </c>
      <c r="E44" s="124">
        <v>0.03</v>
      </c>
      <c r="F44" s="124">
        <v>0.03</v>
      </c>
      <c r="G44" s="124">
        <v>0.03</v>
      </c>
      <c r="I44" s="176" t="s">
        <v>462</v>
      </c>
    </row>
    <row r="45" spans="1:12" x14ac:dyDescent="0.2">
      <c r="A45" s="122" t="s">
        <v>222</v>
      </c>
      <c r="B45" s="123">
        <v>25000</v>
      </c>
      <c r="C45" s="122"/>
      <c r="D45" s="124">
        <v>0.03</v>
      </c>
      <c r="E45" s="124">
        <v>0.03</v>
      </c>
      <c r="F45" s="124">
        <v>0.03</v>
      </c>
      <c r="G45" s="124">
        <v>0.03</v>
      </c>
      <c r="I45" s="176" t="s">
        <v>462</v>
      </c>
    </row>
    <row r="46" spans="1:12" x14ac:dyDescent="0.2">
      <c r="A46" s="122" t="s">
        <v>220</v>
      </c>
      <c r="B46" s="123">
        <v>5000</v>
      </c>
      <c r="C46" s="122"/>
      <c r="D46" s="124">
        <v>0.03</v>
      </c>
      <c r="E46" s="124">
        <v>0.03</v>
      </c>
      <c r="F46" s="124">
        <v>0.03</v>
      </c>
      <c r="G46" s="124">
        <v>0.03</v>
      </c>
      <c r="I46" s="176" t="s">
        <v>475</v>
      </c>
    </row>
    <row r="47" spans="1:12" x14ac:dyDescent="0.2">
      <c r="A47" s="122" t="s">
        <v>221</v>
      </c>
      <c r="B47" s="123">
        <v>4500</v>
      </c>
      <c r="C47" s="122"/>
      <c r="D47" s="124">
        <v>0.03</v>
      </c>
      <c r="E47" s="124">
        <v>0.03</v>
      </c>
      <c r="F47" s="124">
        <v>0.03</v>
      </c>
      <c r="G47" s="124">
        <v>0.03</v>
      </c>
      <c r="I47" s="176" t="s">
        <v>475</v>
      </c>
    </row>
    <row r="48" spans="1:12" x14ac:dyDescent="0.2">
      <c r="A48" s="122" t="s">
        <v>516</v>
      </c>
      <c r="B48" s="123">
        <v>25000</v>
      </c>
      <c r="C48" s="122"/>
      <c r="D48" s="124">
        <v>0.03</v>
      </c>
      <c r="E48" s="124">
        <v>0.03</v>
      </c>
      <c r="F48" s="124">
        <v>0.03</v>
      </c>
      <c r="G48" s="124">
        <v>0.03</v>
      </c>
      <c r="I48" s="176" t="s">
        <v>475</v>
      </c>
    </row>
    <row r="49" spans="1:12" x14ac:dyDescent="0.2">
      <c r="A49" s="122" t="s">
        <v>235</v>
      </c>
      <c r="B49" s="123">
        <v>2000</v>
      </c>
      <c r="C49" s="122"/>
      <c r="D49" s="124">
        <v>0.03</v>
      </c>
      <c r="E49" s="124">
        <v>0.03</v>
      </c>
      <c r="F49" s="124">
        <v>0.03</v>
      </c>
      <c r="G49" s="124">
        <v>0.03</v>
      </c>
      <c r="I49" s="176" t="s">
        <v>461</v>
      </c>
    </row>
    <row r="50" spans="1:12" x14ac:dyDescent="0.2">
      <c r="A50" s="122" t="s">
        <v>286</v>
      </c>
      <c r="B50" s="123">
        <v>30000</v>
      </c>
      <c r="C50" s="122"/>
      <c r="D50" s="124" t="s">
        <v>285</v>
      </c>
      <c r="E50" s="124"/>
      <c r="F50" s="124"/>
      <c r="G50" s="124"/>
      <c r="I50" s="176" t="s">
        <v>461</v>
      </c>
    </row>
    <row r="51" spans="1:12" x14ac:dyDescent="0.2">
      <c r="A51" s="122"/>
      <c r="B51" s="124"/>
    </row>
    <row r="52" spans="1:12" x14ac:dyDescent="0.2">
      <c r="A52" s="152" t="s">
        <v>198</v>
      </c>
      <c r="B52" s="124"/>
    </row>
    <row r="53" spans="1:12" x14ac:dyDescent="0.2">
      <c r="A53" s="122" t="s">
        <v>541</v>
      </c>
      <c r="B53" s="128">
        <f>655257/12*1.05</f>
        <v>57334.987500000003</v>
      </c>
      <c r="D53" s="124">
        <v>0.03</v>
      </c>
      <c r="E53" s="124">
        <v>0.03</v>
      </c>
      <c r="F53" s="124">
        <v>0.03</v>
      </c>
      <c r="G53" s="124">
        <v>0.03</v>
      </c>
      <c r="I53" s="176" t="s">
        <v>543</v>
      </c>
    </row>
    <row r="54" spans="1:12" x14ac:dyDescent="0.2">
      <c r="A54" s="122" t="s">
        <v>537</v>
      </c>
      <c r="B54" s="186">
        <f>59060/12*1.05</f>
        <v>5167.7500000000009</v>
      </c>
      <c r="C54" s="122"/>
      <c r="D54" s="143">
        <v>0.05</v>
      </c>
      <c r="E54" s="143">
        <v>0.05</v>
      </c>
      <c r="F54" s="143">
        <v>0.05</v>
      </c>
      <c r="G54" s="143">
        <v>0.05</v>
      </c>
      <c r="I54" s="176" t="s">
        <v>543</v>
      </c>
    </row>
    <row r="55" spans="1:12" x14ac:dyDescent="0.2">
      <c r="A55" s="122" t="s">
        <v>229</v>
      </c>
      <c r="B55" s="186">
        <f>30000/12*1.05</f>
        <v>2625</v>
      </c>
      <c r="C55" s="122"/>
      <c r="D55" s="143">
        <v>0.05</v>
      </c>
      <c r="E55" s="143">
        <v>0.05</v>
      </c>
      <c r="F55" s="143">
        <v>0.05</v>
      </c>
      <c r="G55" s="143">
        <v>0.05</v>
      </c>
      <c r="I55" s="176" t="s">
        <v>543</v>
      </c>
    </row>
    <row r="56" spans="1:12" x14ac:dyDescent="0.2">
      <c r="A56" s="122" t="s">
        <v>538</v>
      </c>
      <c r="B56" s="186">
        <f>167*10</f>
        <v>1670</v>
      </c>
      <c r="C56" s="122"/>
      <c r="D56" s="143">
        <v>0.05</v>
      </c>
      <c r="E56" s="143">
        <v>0.05</v>
      </c>
      <c r="F56" s="143">
        <v>0.05</v>
      </c>
      <c r="G56" s="143">
        <v>0.05</v>
      </c>
      <c r="I56" s="176" t="s">
        <v>544</v>
      </c>
    </row>
    <row r="57" spans="1:12" x14ac:dyDescent="0.2">
      <c r="A57" s="122" t="s">
        <v>536</v>
      </c>
      <c r="B57" s="186">
        <f>35*115</f>
        <v>4025</v>
      </c>
      <c r="C57" s="122"/>
      <c r="D57" s="143">
        <v>0.05</v>
      </c>
      <c r="E57" s="143">
        <v>0.05</v>
      </c>
      <c r="F57" s="143">
        <v>0.05</v>
      </c>
      <c r="G57" s="143">
        <v>0.05</v>
      </c>
      <c r="I57" s="176" t="s">
        <v>545</v>
      </c>
    </row>
    <row r="58" spans="1:12" x14ac:dyDescent="0.2">
      <c r="A58" s="122" t="s">
        <v>535</v>
      </c>
      <c r="B58" s="186">
        <f>1449*100</f>
        <v>144900</v>
      </c>
      <c r="C58" s="122"/>
      <c r="D58" s="143">
        <v>0.05</v>
      </c>
      <c r="E58" s="143">
        <v>0.05</v>
      </c>
      <c r="F58" s="143">
        <v>0.05</v>
      </c>
      <c r="G58" s="143">
        <v>0.05</v>
      </c>
      <c r="I58" s="176" t="s">
        <v>540</v>
      </c>
    </row>
    <row r="59" spans="1:12" x14ac:dyDescent="0.2">
      <c r="A59" s="122" t="s">
        <v>199</v>
      </c>
      <c r="B59" s="283" t="s">
        <v>517</v>
      </c>
      <c r="C59" s="147"/>
      <c r="D59" s="122"/>
      <c r="E59" s="122"/>
      <c r="F59" s="122"/>
      <c r="G59" s="122"/>
      <c r="I59" s="176" t="s">
        <v>463</v>
      </c>
    </row>
    <row r="61" spans="1:12" x14ac:dyDescent="0.2">
      <c r="A61" s="152" t="s">
        <v>204</v>
      </c>
      <c r="I61" s="286" t="s">
        <v>479</v>
      </c>
      <c r="J61" s="286"/>
      <c r="K61" s="286"/>
      <c r="L61" s="286"/>
    </row>
    <row r="62" spans="1:12" x14ac:dyDescent="0.2">
      <c r="A62" s="122" t="s">
        <v>205</v>
      </c>
      <c r="B62" s="123">
        <v>75000000</v>
      </c>
      <c r="D62" s="124">
        <v>0.03</v>
      </c>
      <c r="E62" s="124">
        <v>0.03</v>
      </c>
      <c r="F62" s="124">
        <v>0.03</v>
      </c>
      <c r="G62" s="124">
        <v>0.03</v>
      </c>
      <c r="I62" s="286"/>
      <c r="J62" s="286"/>
      <c r="K62" s="286"/>
      <c r="L62" s="286"/>
    </row>
    <row r="63" spans="1:12" x14ac:dyDescent="0.2">
      <c r="A63" s="122" t="s">
        <v>206</v>
      </c>
      <c r="B63" s="145">
        <v>8.5579999999999996E-3</v>
      </c>
    </row>
    <row r="65" spans="1:12" x14ac:dyDescent="0.2">
      <c r="A65" s="152" t="s">
        <v>104</v>
      </c>
      <c r="B65" s="146" t="s">
        <v>213</v>
      </c>
      <c r="I65" s="286" t="s">
        <v>464</v>
      </c>
      <c r="J65" s="286"/>
      <c r="K65" s="286"/>
      <c r="L65" s="286"/>
    </row>
    <row r="66" spans="1:12" x14ac:dyDescent="0.2">
      <c r="A66" s="122" t="s">
        <v>207</v>
      </c>
      <c r="B66" s="123">
        <v>90000</v>
      </c>
      <c r="D66" s="124">
        <v>0.03</v>
      </c>
      <c r="E66" s="124">
        <v>0.03</v>
      </c>
      <c r="F66" s="124">
        <v>0.03</v>
      </c>
      <c r="G66" s="124">
        <v>0.03</v>
      </c>
      <c r="I66" s="286"/>
      <c r="J66" s="286"/>
      <c r="K66" s="286"/>
      <c r="L66" s="286"/>
    </row>
    <row r="67" spans="1:12" x14ac:dyDescent="0.2">
      <c r="A67" s="122" t="s">
        <v>217</v>
      </c>
      <c r="B67" s="123">
        <v>5000</v>
      </c>
      <c r="D67" s="124">
        <v>0.03</v>
      </c>
      <c r="E67" s="124">
        <v>0.03</v>
      </c>
      <c r="F67" s="124">
        <v>0.03</v>
      </c>
      <c r="G67" s="124">
        <v>0.03</v>
      </c>
    </row>
    <row r="68" spans="1:12" x14ac:dyDescent="0.2">
      <c r="A68" s="122" t="s">
        <v>401</v>
      </c>
      <c r="B68" s="123">
        <v>10000</v>
      </c>
      <c r="D68" s="124">
        <v>0.03</v>
      </c>
      <c r="E68" s="124">
        <v>0.03</v>
      </c>
      <c r="F68" s="124">
        <v>0.03</v>
      </c>
      <c r="G68" s="124">
        <v>0.03</v>
      </c>
    </row>
    <row r="69" spans="1:12" x14ac:dyDescent="0.2">
      <c r="A69" s="122" t="s">
        <v>233</v>
      </c>
      <c r="B69" s="123">
        <v>8000</v>
      </c>
      <c r="D69" s="124">
        <v>0.03</v>
      </c>
      <c r="E69" s="124">
        <v>0.03</v>
      </c>
      <c r="F69" s="124">
        <v>0.03</v>
      </c>
      <c r="G69" s="124">
        <v>0.03</v>
      </c>
    </row>
    <row r="70" spans="1:12" x14ac:dyDescent="0.2">
      <c r="A70" s="122" t="s">
        <v>236</v>
      </c>
      <c r="B70" s="123">
        <v>4000</v>
      </c>
      <c r="D70" s="124">
        <v>0.03</v>
      </c>
      <c r="E70" s="124">
        <v>0.03</v>
      </c>
      <c r="F70" s="124">
        <v>0.03</v>
      </c>
      <c r="G70" s="124">
        <v>0.03</v>
      </c>
    </row>
    <row r="71" spans="1:12" x14ac:dyDescent="0.2">
      <c r="A71" s="122" t="s">
        <v>407</v>
      </c>
      <c r="B71" s="123">
        <v>1000</v>
      </c>
      <c r="D71" s="124">
        <v>0.03</v>
      </c>
      <c r="E71" s="124">
        <v>0.03</v>
      </c>
      <c r="F71" s="124">
        <v>0.03</v>
      </c>
      <c r="G71" s="124">
        <v>0.03</v>
      </c>
      <c r="I71" s="176" t="s">
        <v>416</v>
      </c>
    </row>
    <row r="72" spans="1:12" x14ac:dyDescent="0.2">
      <c r="A72" s="122"/>
      <c r="B72" s="123" t="s">
        <v>417</v>
      </c>
    </row>
    <row r="73" spans="1:12" x14ac:dyDescent="0.2">
      <c r="A73" s="152" t="s">
        <v>225</v>
      </c>
      <c r="B73" s="146" t="s">
        <v>213</v>
      </c>
      <c r="I73" s="122"/>
    </row>
    <row r="74" spans="1:12" x14ac:dyDescent="0.2">
      <c r="A74" s="122" t="s">
        <v>228</v>
      </c>
      <c r="B74" s="123">
        <v>10000</v>
      </c>
      <c r="D74" s="124">
        <v>0.06</v>
      </c>
      <c r="E74" s="124">
        <v>0.04</v>
      </c>
      <c r="F74" s="124">
        <v>0.03</v>
      </c>
      <c r="G74" s="124">
        <v>0.03</v>
      </c>
      <c r="I74" s="176" t="s">
        <v>461</v>
      </c>
    </row>
    <row r="75" spans="1:12" x14ac:dyDescent="0.2">
      <c r="A75" s="122" t="s">
        <v>229</v>
      </c>
      <c r="B75" s="123">
        <v>3000</v>
      </c>
      <c r="D75" s="124">
        <v>0.06</v>
      </c>
      <c r="E75" s="124">
        <v>0.04</v>
      </c>
      <c r="F75" s="124">
        <v>0.03</v>
      </c>
      <c r="G75" s="124">
        <v>0.03</v>
      </c>
      <c r="I75" s="176" t="s">
        <v>461</v>
      </c>
    </row>
    <row r="76" spans="1:12" x14ac:dyDescent="0.2">
      <c r="A76" s="122" t="s">
        <v>230</v>
      </c>
      <c r="B76" s="123">
        <v>500</v>
      </c>
      <c r="D76" s="124">
        <v>0.06</v>
      </c>
      <c r="E76" s="124">
        <v>0.04</v>
      </c>
      <c r="F76" s="124">
        <v>0.03</v>
      </c>
      <c r="G76" s="124">
        <v>0.03</v>
      </c>
      <c r="I76" s="176" t="s">
        <v>461</v>
      </c>
    </row>
    <row r="77" spans="1:12" x14ac:dyDescent="0.2">
      <c r="A77" s="122"/>
    </row>
    <row r="78" spans="1:12" x14ac:dyDescent="0.2">
      <c r="A78" s="152" t="s">
        <v>208</v>
      </c>
      <c r="B78" s="146" t="s">
        <v>213</v>
      </c>
    </row>
    <row r="79" spans="1:12" x14ac:dyDescent="0.2">
      <c r="A79" s="122" t="s">
        <v>209</v>
      </c>
      <c r="B79" s="123">
        <v>40000</v>
      </c>
      <c r="D79" s="124">
        <v>0.05</v>
      </c>
      <c r="E79" s="124">
        <v>0.05</v>
      </c>
      <c r="F79" s="124">
        <v>0.05</v>
      </c>
      <c r="G79" s="124">
        <v>0.05</v>
      </c>
      <c r="I79" s="176" t="s">
        <v>461</v>
      </c>
    </row>
    <row r="80" spans="1:12" x14ac:dyDescent="0.2">
      <c r="A80" s="122" t="s">
        <v>210</v>
      </c>
      <c r="B80" s="123">
        <v>8333</v>
      </c>
      <c r="D80" s="124">
        <v>0.05</v>
      </c>
      <c r="E80" s="124">
        <v>0.05</v>
      </c>
      <c r="F80" s="124">
        <v>0.05</v>
      </c>
      <c r="G80" s="124">
        <v>0.05</v>
      </c>
      <c r="I80" s="176" t="s">
        <v>465</v>
      </c>
    </row>
    <row r="81" spans="1:12" x14ac:dyDescent="0.2">
      <c r="A81" s="122" t="s">
        <v>211</v>
      </c>
      <c r="B81" s="123">
        <v>3000</v>
      </c>
      <c r="D81" s="124">
        <v>0.05</v>
      </c>
      <c r="E81" s="124">
        <v>0.05</v>
      </c>
      <c r="F81" s="124">
        <v>0.05</v>
      </c>
      <c r="G81" s="124">
        <v>0.05</v>
      </c>
      <c r="I81" s="176" t="s">
        <v>461</v>
      </c>
    </row>
    <row r="82" spans="1:12" x14ac:dyDescent="0.2">
      <c r="A82" s="122" t="s">
        <v>212</v>
      </c>
      <c r="B82" s="123">
        <v>10000</v>
      </c>
      <c r="D82" s="124">
        <v>0.05</v>
      </c>
      <c r="E82" s="124">
        <v>0.05</v>
      </c>
      <c r="F82" s="124">
        <v>0.05</v>
      </c>
      <c r="G82" s="124">
        <v>0.05</v>
      </c>
      <c r="I82" s="176" t="s">
        <v>461</v>
      </c>
    </row>
    <row r="83" spans="1:12" x14ac:dyDescent="0.2">
      <c r="A83" s="122"/>
      <c r="D83" s="124"/>
      <c r="E83" s="124"/>
      <c r="F83" s="124"/>
      <c r="G83" s="124"/>
    </row>
    <row r="84" spans="1:12" x14ac:dyDescent="0.2">
      <c r="A84" s="152" t="s">
        <v>403</v>
      </c>
      <c r="B84" s="146" t="s">
        <v>213</v>
      </c>
      <c r="D84" s="124"/>
      <c r="E84" s="124"/>
      <c r="F84" s="124"/>
      <c r="G84" s="124"/>
      <c r="I84" s="286" t="s">
        <v>466</v>
      </c>
      <c r="J84" s="286"/>
      <c r="K84" s="286"/>
      <c r="L84" s="286"/>
    </row>
    <row r="85" spans="1:12" x14ac:dyDescent="0.2">
      <c r="A85" s="122" t="s">
        <v>404</v>
      </c>
      <c r="B85" s="123">
        <v>5000</v>
      </c>
      <c r="D85" s="124">
        <v>0.05</v>
      </c>
      <c r="E85" s="124">
        <v>0.05</v>
      </c>
      <c r="F85" s="124">
        <v>0.05</v>
      </c>
      <c r="G85" s="124">
        <v>0.05</v>
      </c>
      <c r="I85" s="286"/>
      <c r="J85" s="286"/>
      <c r="K85" s="286"/>
      <c r="L85" s="286"/>
    </row>
    <row r="86" spans="1:12" x14ac:dyDescent="0.2">
      <c r="A86" s="122" t="s">
        <v>232</v>
      </c>
      <c r="B86" s="123">
        <v>25000</v>
      </c>
      <c r="D86" s="124">
        <v>0.03</v>
      </c>
      <c r="E86" s="124">
        <v>0.03</v>
      </c>
      <c r="F86" s="124">
        <v>0.03</v>
      </c>
      <c r="G86" s="124">
        <v>0.03</v>
      </c>
    </row>
    <row r="87" spans="1:12" x14ac:dyDescent="0.2">
      <c r="A87" s="122" t="s">
        <v>241</v>
      </c>
      <c r="B87" s="123">
        <v>10000</v>
      </c>
      <c r="D87" s="124">
        <v>0.03</v>
      </c>
      <c r="E87" s="124">
        <v>0.03</v>
      </c>
      <c r="F87" s="124">
        <v>0.03</v>
      </c>
      <c r="G87" s="124">
        <v>0.03</v>
      </c>
    </row>
    <row r="89" spans="1:12" x14ac:dyDescent="0.2">
      <c r="A89" s="152" t="s">
        <v>238</v>
      </c>
      <c r="B89" s="146" t="s">
        <v>213</v>
      </c>
    </row>
    <row r="90" spans="1:12" x14ac:dyDescent="0.2">
      <c r="A90" s="122" t="s">
        <v>239</v>
      </c>
      <c r="B90" s="123">
        <v>5000</v>
      </c>
      <c r="D90" s="124">
        <v>0.03</v>
      </c>
      <c r="E90" s="124">
        <v>0.03</v>
      </c>
      <c r="F90" s="124">
        <v>0.03</v>
      </c>
      <c r="G90" s="124">
        <v>0.03</v>
      </c>
      <c r="I90" s="176" t="s">
        <v>461</v>
      </c>
    </row>
    <row r="91" spans="1:12" x14ac:dyDescent="0.2">
      <c r="A91" s="122" t="s">
        <v>237</v>
      </c>
      <c r="B91" s="123">
        <f>2000+7339</f>
        <v>9339</v>
      </c>
      <c r="D91" s="124">
        <v>0.03</v>
      </c>
      <c r="E91" s="124">
        <v>0.03</v>
      </c>
      <c r="F91" s="124">
        <v>0.03</v>
      </c>
      <c r="G91" s="124">
        <v>0.03</v>
      </c>
      <c r="I91" s="176" t="s">
        <v>467</v>
      </c>
    </row>
    <row r="92" spans="1:12" x14ac:dyDescent="0.2">
      <c r="A92" s="122" t="s">
        <v>240</v>
      </c>
      <c r="B92" s="123">
        <v>1000</v>
      </c>
      <c r="D92" s="124">
        <v>0.03</v>
      </c>
      <c r="E92" s="124">
        <v>0.03</v>
      </c>
      <c r="F92" s="124">
        <v>0.03</v>
      </c>
      <c r="G92" s="124">
        <v>0.03</v>
      </c>
      <c r="I92" s="176" t="s">
        <v>461</v>
      </c>
    </row>
    <row r="93" spans="1:12" x14ac:dyDescent="0.2">
      <c r="A93" s="122" t="s">
        <v>243</v>
      </c>
      <c r="B93" s="123">
        <v>0</v>
      </c>
      <c r="D93" s="124">
        <v>0.03</v>
      </c>
      <c r="E93" s="124">
        <v>0.03</v>
      </c>
      <c r="F93" s="124">
        <v>0.03</v>
      </c>
      <c r="G93" s="124">
        <v>0.03</v>
      </c>
      <c r="I93" s="176"/>
    </row>
    <row r="94" spans="1:12" x14ac:dyDescent="0.2">
      <c r="A94" s="122" t="s">
        <v>244</v>
      </c>
      <c r="B94" s="123">
        <v>500</v>
      </c>
      <c r="D94" s="124">
        <v>0.03</v>
      </c>
      <c r="E94" s="124">
        <v>0.03</v>
      </c>
      <c r="F94" s="124">
        <v>0.03</v>
      </c>
      <c r="G94" s="124">
        <v>0.03</v>
      </c>
      <c r="I94" s="176" t="s">
        <v>461</v>
      </c>
    </row>
    <row r="95" spans="1:12" x14ac:dyDescent="0.2">
      <c r="A95" s="122" t="s">
        <v>248</v>
      </c>
      <c r="B95" s="123">
        <v>1000</v>
      </c>
      <c r="D95" s="124">
        <v>0.03</v>
      </c>
      <c r="E95" s="124">
        <v>0.03</v>
      </c>
      <c r="F95" s="124">
        <v>0.03</v>
      </c>
      <c r="G95" s="124">
        <v>0.03</v>
      </c>
      <c r="I95" s="176" t="s">
        <v>461</v>
      </c>
    </row>
    <row r="96" spans="1:12" x14ac:dyDescent="0.2">
      <c r="A96" s="122" t="s">
        <v>415</v>
      </c>
      <c r="B96" s="123">
        <v>2500</v>
      </c>
      <c r="C96" t="s">
        <v>423</v>
      </c>
      <c r="D96" s="124">
        <v>0</v>
      </c>
      <c r="E96" s="124">
        <v>0</v>
      </c>
      <c r="F96" s="124">
        <v>0</v>
      </c>
      <c r="G96" s="124">
        <v>0</v>
      </c>
      <c r="I96" s="176" t="s">
        <v>469</v>
      </c>
    </row>
    <row r="97" spans="1:9" x14ac:dyDescent="0.2">
      <c r="A97" s="122" t="s">
        <v>242</v>
      </c>
      <c r="B97" s="123">
        <v>5000</v>
      </c>
      <c r="D97" s="124">
        <v>0.03</v>
      </c>
      <c r="E97" s="124">
        <v>0.03</v>
      </c>
      <c r="F97" s="124">
        <v>0.03</v>
      </c>
      <c r="G97" s="124">
        <v>0.03</v>
      </c>
      <c r="I97" s="176" t="s">
        <v>461</v>
      </c>
    </row>
    <row r="98" spans="1:9" x14ac:dyDescent="0.2">
      <c r="A98" s="122"/>
      <c r="D98" s="124"/>
      <c r="E98" s="124"/>
      <c r="F98" s="124"/>
      <c r="G98" s="124"/>
    </row>
    <row r="99" spans="1:9" x14ac:dyDescent="0.2">
      <c r="A99" s="152" t="s">
        <v>421</v>
      </c>
      <c r="D99" s="124"/>
      <c r="E99" s="124"/>
      <c r="F99" s="124"/>
      <c r="G99" s="124"/>
    </row>
    <row r="100" spans="1:9" x14ac:dyDescent="0.2">
      <c r="A100" s="122" t="s">
        <v>422</v>
      </c>
      <c r="B100" s="124">
        <v>0.06</v>
      </c>
      <c r="C100" t="s">
        <v>423</v>
      </c>
      <c r="D100" s="124"/>
      <c r="E100" s="124"/>
      <c r="F100" s="124"/>
      <c r="G100" s="124"/>
      <c r="I100" s="176" t="s">
        <v>470</v>
      </c>
    </row>
    <row r="102" spans="1:9" x14ac:dyDescent="0.2">
      <c r="A102" s="152" t="s">
        <v>249</v>
      </c>
      <c r="B102" s="146" t="s">
        <v>250</v>
      </c>
      <c r="C102" s="146" t="s">
        <v>276</v>
      </c>
      <c r="I102" s="176"/>
    </row>
    <row r="103" spans="1:9" x14ac:dyDescent="0.2">
      <c r="A103" s="122" t="s">
        <v>546</v>
      </c>
      <c r="B103" s="138">
        <v>29.33</v>
      </c>
      <c r="C103" s="151">
        <v>0.3</v>
      </c>
      <c r="D103" s="124">
        <v>0</v>
      </c>
      <c r="E103" s="124">
        <v>0</v>
      </c>
      <c r="F103" s="124">
        <v>0</v>
      </c>
      <c r="G103" s="124">
        <v>0</v>
      </c>
      <c r="I103" s="176" t="s">
        <v>549</v>
      </c>
    </row>
    <row r="104" spans="1:9" x14ac:dyDescent="0.2">
      <c r="A104" s="122" t="s">
        <v>547</v>
      </c>
      <c r="B104" s="137">
        <v>10</v>
      </c>
      <c r="C104" s="151">
        <v>0.31900000000000001</v>
      </c>
      <c r="D104" s="124">
        <v>0</v>
      </c>
      <c r="E104" s="124">
        <v>0</v>
      </c>
      <c r="F104" s="124">
        <v>0</v>
      </c>
      <c r="G104" s="124">
        <v>0</v>
      </c>
      <c r="I104" s="176" t="s">
        <v>549</v>
      </c>
    </row>
    <row r="105" spans="1:9" x14ac:dyDescent="0.2">
      <c r="A105" s="122" t="s">
        <v>452</v>
      </c>
      <c r="B105" s="128">
        <v>60250</v>
      </c>
      <c r="C105" s="122" t="s">
        <v>453</v>
      </c>
      <c r="I105" s="176"/>
    </row>
    <row r="106" spans="1:9" x14ac:dyDescent="0.2">
      <c r="A106" s="122" t="s">
        <v>548</v>
      </c>
      <c r="B106" s="123">
        <f>100000000*0.12/12</f>
        <v>1000000</v>
      </c>
      <c r="D106" s="285"/>
      <c r="E106" s="285"/>
      <c r="F106" s="285"/>
      <c r="G106" s="285"/>
      <c r="I106" s="176"/>
    </row>
    <row r="107" spans="1:9" x14ac:dyDescent="0.2">
      <c r="A107" s="122" t="s">
        <v>551</v>
      </c>
      <c r="B107" s="123">
        <v>100000000</v>
      </c>
    </row>
    <row r="108" spans="1:9" x14ac:dyDescent="0.2">
      <c r="A108" s="122" t="s">
        <v>552</v>
      </c>
      <c r="B108" s="124">
        <v>0.1</v>
      </c>
    </row>
    <row r="109" spans="1:9" x14ac:dyDescent="0.2">
      <c r="A109" s="122" t="s">
        <v>553</v>
      </c>
      <c r="B109" s="123">
        <f>B107*B108/12</f>
        <v>833333.33333333337</v>
      </c>
      <c r="D109" s="285">
        <v>2.5000000000000001E-2</v>
      </c>
      <c r="E109" s="285">
        <v>2.5000000000000001E-2</v>
      </c>
      <c r="F109" s="285">
        <v>2.5000000000000001E-2</v>
      </c>
      <c r="G109" s="285">
        <v>2.5000000000000001E-2</v>
      </c>
    </row>
  </sheetData>
  <mergeCells count="6">
    <mergeCell ref="I61:L62"/>
    <mergeCell ref="I65:L66"/>
    <mergeCell ref="I84:L85"/>
    <mergeCell ref="H7:I7"/>
    <mergeCell ref="J7:K7"/>
    <mergeCell ref="I34:L35"/>
  </mergeCells>
  <phoneticPr fontId="6" type="noConversion"/>
  <printOptions headings="1"/>
  <pageMargins left="0.31" right="0.3" top="0.5" bottom="0.28999999999999998" header="0.25" footer="0.06"/>
  <pageSetup scale="85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696E-FBDE-4F5A-A594-D51608AC37A0}">
  <sheetPr transitionEvaluation="1" transitionEntry="1">
    <tabColor rgb="FFFFC000"/>
  </sheetPr>
  <dimension ref="A1:BR27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6" sqref="N6"/>
    </sheetView>
  </sheetViews>
  <sheetFormatPr defaultColWidth="9.140625" defaultRowHeight="12.75" outlineLevelCol="1" x14ac:dyDescent="0.2"/>
  <cols>
    <col min="1" max="1" width="25.140625" style="52" bestFit="1" customWidth="1"/>
    <col min="2" max="5" width="12" style="53" hidden="1" customWidth="1" outlineLevel="1"/>
    <col min="6" max="6" width="13.5703125" style="53" hidden="1" customWidth="1" outlineLevel="1"/>
    <col min="7" max="7" width="12" style="53" hidden="1" customWidth="1" outlineLevel="1"/>
    <col min="8" max="8" width="12.42578125" style="53" hidden="1" customWidth="1" outlineLevel="1"/>
    <col min="9" max="13" width="12" style="53" hidden="1" customWidth="1" outlineLevel="1"/>
    <col min="14" max="14" width="11" style="95" bestFit="1" customWidth="1" collapsed="1"/>
    <col min="15" max="18" width="12" style="53" hidden="1" customWidth="1" outlineLevel="1"/>
    <col min="19" max="19" width="13.5703125" style="53" hidden="1" customWidth="1" outlineLevel="1"/>
    <col min="20" max="20" width="12" style="53" hidden="1" customWidth="1" outlineLevel="1"/>
    <col min="21" max="21" width="12.42578125" style="53" hidden="1" customWidth="1" outlineLevel="1"/>
    <col min="22" max="26" width="12" style="53" hidden="1" customWidth="1" outlineLevel="1"/>
    <col min="27" max="27" width="15.7109375" style="166" bestFit="1" customWidth="1" collapsed="1"/>
    <col min="28" max="39" width="15.7109375" style="53" hidden="1" customWidth="1" outlineLevel="1"/>
    <col min="40" max="40" width="15.7109375" style="166" bestFit="1" customWidth="1" collapsed="1"/>
    <col min="41" max="52" width="15.7109375" style="53" hidden="1" customWidth="1" outlineLevel="1"/>
    <col min="53" max="53" width="15.7109375" style="166" bestFit="1" customWidth="1" collapsed="1"/>
    <col min="54" max="54" width="15.7109375" style="166" customWidth="1"/>
    <col min="55" max="16384" width="9.140625" style="53"/>
  </cols>
  <sheetData>
    <row r="1" spans="1:70" ht="18.75" x14ac:dyDescent="0.3">
      <c r="A1" s="54" t="s">
        <v>488</v>
      </c>
      <c r="C1" s="54"/>
    </row>
    <row r="2" spans="1:70" ht="18.75" x14ac:dyDescent="0.3">
      <c r="A2" s="54" t="s">
        <v>149</v>
      </c>
      <c r="C2" s="54"/>
      <c r="E2" s="218"/>
    </row>
    <row r="3" spans="1:70" ht="15.75" x14ac:dyDescent="0.25">
      <c r="A3" s="55" t="s">
        <v>14</v>
      </c>
      <c r="AA3" s="167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167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167"/>
      <c r="BB3" s="167"/>
    </row>
    <row r="4" spans="1:70" ht="13.9" customHeight="1" x14ac:dyDescent="0.2"/>
    <row r="5" spans="1:70" s="52" customFormat="1" ht="15.75" x14ac:dyDescent="0.25">
      <c r="B5" s="112">
        <v>1</v>
      </c>
      <c r="C5" s="112">
        <v>2</v>
      </c>
      <c r="D5" s="112">
        <v>3</v>
      </c>
      <c r="E5" s="112">
        <v>4</v>
      </c>
      <c r="F5" s="112">
        <v>5</v>
      </c>
      <c r="G5" s="112">
        <v>6</v>
      </c>
      <c r="H5" s="112">
        <v>7</v>
      </c>
      <c r="I5" s="112">
        <v>8</v>
      </c>
      <c r="J5" s="112">
        <v>9</v>
      </c>
      <c r="K5" s="112">
        <v>10</v>
      </c>
      <c r="L5" s="112">
        <v>11</v>
      </c>
      <c r="M5" s="112">
        <v>12</v>
      </c>
      <c r="N5" s="219" t="s">
        <v>483</v>
      </c>
      <c r="O5" s="112">
        <v>1</v>
      </c>
      <c r="P5" s="112">
        <v>2</v>
      </c>
      <c r="Q5" s="112">
        <v>3</v>
      </c>
      <c r="R5" s="112">
        <v>4</v>
      </c>
      <c r="S5" s="112">
        <v>5</v>
      </c>
      <c r="T5" s="112">
        <v>6</v>
      </c>
      <c r="U5" s="112">
        <v>7</v>
      </c>
      <c r="V5" s="112">
        <v>8</v>
      </c>
      <c r="W5" s="112">
        <v>9</v>
      </c>
      <c r="X5" s="112">
        <v>10</v>
      </c>
      <c r="Y5" s="112">
        <v>11</v>
      </c>
      <c r="Z5" s="112">
        <v>12</v>
      </c>
      <c r="AA5" s="220" t="s">
        <v>484</v>
      </c>
      <c r="AB5" s="112">
        <v>1</v>
      </c>
      <c r="AC5" s="112">
        <v>2</v>
      </c>
      <c r="AD5" s="112">
        <v>3</v>
      </c>
      <c r="AE5" s="112">
        <v>4</v>
      </c>
      <c r="AF5" s="112">
        <v>5</v>
      </c>
      <c r="AG5" s="112">
        <v>6</v>
      </c>
      <c r="AH5" s="112">
        <v>7</v>
      </c>
      <c r="AI5" s="112">
        <v>8</v>
      </c>
      <c r="AJ5" s="112">
        <v>9</v>
      </c>
      <c r="AK5" s="112">
        <v>10</v>
      </c>
      <c r="AL5" s="112">
        <v>11</v>
      </c>
      <c r="AM5" s="112">
        <v>12</v>
      </c>
      <c r="AN5" s="220" t="s">
        <v>485</v>
      </c>
      <c r="AO5" s="112">
        <v>1</v>
      </c>
      <c r="AP5" s="112">
        <v>2</v>
      </c>
      <c r="AQ5" s="112">
        <v>3</v>
      </c>
      <c r="AR5" s="112">
        <v>4</v>
      </c>
      <c r="AS5" s="112">
        <v>5</v>
      </c>
      <c r="AT5" s="112">
        <v>6</v>
      </c>
      <c r="AU5" s="112">
        <v>7</v>
      </c>
      <c r="AV5" s="112">
        <v>8</v>
      </c>
      <c r="AW5" s="112">
        <v>9</v>
      </c>
      <c r="AX5" s="112">
        <v>10</v>
      </c>
      <c r="AY5" s="112">
        <v>11</v>
      </c>
      <c r="AZ5" s="112">
        <v>12</v>
      </c>
      <c r="BA5" s="220" t="s">
        <v>486</v>
      </c>
      <c r="BB5" s="220" t="s">
        <v>487</v>
      </c>
    </row>
    <row r="6" spans="1:70" ht="15" x14ac:dyDescent="0.25">
      <c r="A6" s="60" t="s">
        <v>255</v>
      </c>
    </row>
    <row r="7" spans="1:70" x14ac:dyDescent="0.2">
      <c r="A7" s="61" t="s">
        <v>161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1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99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99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99"/>
      <c r="BB7" s="99"/>
    </row>
    <row r="8" spans="1:70" x14ac:dyDescent="0.2">
      <c r="A8" s="107" t="s">
        <v>151</v>
      </c>
      <c r="B8" s="129">
        <f>'FSS 805 Assumptions'!$C9*'FSS 805 Assumptions'!$F9/12*'FSS 805 Assumptions'!B$24</f>
        <v>0</v>
      </c>
      <c r="C8" s="129">
        <f>'FSS 805 Assumptions'!$C9*'FSS 805 Assumptions'!$F9/12*'FSS 805 Assumptions'!C$24</f>
        <v>0</v>
      </c>
      <c r="D8" s="129">
        <f>'FSS 805 Assumptions'!$C9*'FSS 805 Assumptions'!$F9/12*'FSS 805 Assumptions'!D$24</f>
        <v>0</v>
      </c>
      <c r="E8" s="129">
        <f>'FSS 805 Assumptions'!$C9*'FSS 805 Assumptions'!$F9/12*'FSS 805 Assumptions'!E$24</f>
        <v>0</v>
      </c>
      <c r="F8" s="129">
        <f>'FSS 805 Assumptions'!$C9*'FSS 805 Assumptions'!$F9/12*'FSS 805 Assumptions'!F$24</f>
        <v>0</v>
      </c>
      <c r="G8" s="129">
        <f>'FSS 805 Assumptions'!$C9*'FSS 805 Assumptions'!$F9/12*'FSS 805 Assumptions'!G$24</f>
        <v>0</v>
      </c>
      <c r="H8" s="129">
        <f>'FSS 805 Assumptions'!$C9*'FSS 805 Assumptions'!$F9/12*'FSS 805 Assumptions'!H$24</f>
        <v>0</v>
      </c>
      <c r="I8" s="129">
        <f>'FSS 805 Assumptions'!$C9*'FSS 805 Assumptions'!$F9/12*'FSS 805 Assumptions'!I$24</f>
        <v>0</v>
      </c>
      <c r="J8" s="129">
        <f>'FSS 805 Assumptions'!$C9*'FSS 805 Assumptions'!$F9/12*'FSS 805 Assumptions'!J$24</f>
        <v>0</v>
      </c>
      <c r="K8" s="129">
        <f>'FSS 805 Assumptions'!$C9*'FSS 805 Assumptions'!$F9/12*'FSS 805 Assumptions'!K$24</f>
        <v>0</v>
      </c>
      <c r="L8" s="129">
        <f>'FSS 805 Assumptions'!$C9*'FSS 805 Assumptions'!$F9/12*'FSS 805 Assumptions'!L$24</f>
        <v>0</v>
      </c>
      <c r="M8" s="129">
        <f>'FSS 805 Assumptions'!$C9*'FSS 805 Assumptions'!$F9/12*'FSS 805 Assumptions'!M$24</f>
        <v>0</v>
      </c>
      <c r="N8" s="156">
        <f t="shared" ref="N8:N13" si="0">SUM(B8:M8)</f>
        <v>0</v>
      </c>
      <c r="O8" s="129">
        <f>'FSS 805 Assumptions'!$C9*'FSS 805 Assumptions'!$F9/12*'FSS 805 Assumptions'!B$33</f>
        <v>0</v>
      </c>
      <c r="P8" s="129">
        <f>'FSS 805 Assumptions'!$C9*'FSS 805 Assumptions'!$F9/12*'FSS 805 Assumptions'!C$33</f>
        <v>0</v>
      </c>
      <c r="Q8" s="129">
        <f>'FSS 805 Assumptions'!$C9*'FSS 805 Assumptions'!$F9/12*'FSS 805 Assumptions'!D$33</f>
        <v>0</v>
      </c>
      <c r="R8" s="129">
        <f>'FSS 805 Assumptions'!$C9*'FSS 805 Assumptions'!$F9/12*'FSS 805 Assumptions'!E$33</f>
        <v>0</v>
      </c>
      <c r="S8" s="129">
        <f>'FSS 805 Assumptions'!$C9*'FSS 805 Assumptions'!$F9/12*'FSS 805 Assumptions'!F$33</f>
        <v>0</v>
      </c>
      <c r="T8" s="129">
        <f>'FSS 805 Assumptions'!$C9*'FSS 805 Assumptions'!$F9/12*'FSS 805 Assumptions'!G$33</f>
        <v>0</v>
      </c>
      <c r="U8" s="129">
        <f>'FSS 805 Assumptions'!$C9*'FSS 805 Assumptions'!$F9/12*'FSS 805 Assumptions'!H$33</f>
        <v>0</v>
      </c>
      <c r="V8" s="129">
        <f>'FSS 805 Assumptions'!$C9*'FSS 805 Assumptions'!$F9/12*'FSS 805 Assumptions'!I$33</f>
        <v>0</v>
      </c>
      <c r="W8" s="129">
        <f>'FSS 805 Assumptions'!$C9*'FSS 805 Assumptions'!$F9/12*'FSS 805 Assumptions'!J$33</f>
        <v>0</v>
      </c>
      <c r="X8" s="129">
        <f>'FSS 805 Assumptions'!$C9*'FSS 805 Assumptions'!$F9/12*'FSS 805 Assumptions'!K$33</f>
        <v>0</v>
      </c>
      <c r="Y8" s="129">
        <f>'FSS 805 Assumptions'!$C9*'FSS 805 Assumptions'!$F9/12*'FSS 805 Assumptions'!L$33</f>
        <v>0</v>
      </c>
      <c r="Z8" s="129">
        <f>'FSS 805 Assumptions'!$C9*'FSS 805 Assumptions'!$F9/12*'FSS 805 Assumptions'!M$33</f>
        <v>0</v>
      </c>
      <c r="AA8" s="59">
        <f t="shared" ref="AA8:AA13" si="1">SUM(O8:Z8)</f>
        <v>0</v>
      </c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59">
        <f>SUM(AB8:AM8)</f>
        <v>0</v>
      </c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59">
        <f t="shared" ref="BA8:BA14" si="2">SUM(AO8:AZ8)</f>
        <v>0</v>
      </c>
      <c r="BB8" s="59">
        <f>BA8*'FSS 805 Assumptions'!D$43</f>
        <v>0</v>
      </c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0" x14ac:dyDescent="0.2">
      <c r="A9" s="107" t="s">
        <v>152</v>
      </c>
      <c r="B9" s="129">
        <f>'FSS 805 Assumptions'!$C11*'FSS 805 Assumptions'!$F11/12*'FSS 805 Assumptions'!B$24</f>
        <v>0</v>
      </c>
      <c r="C9" s="129">
        <f>'FSS 805 Assumptions'!$C11*'FSS 805 Assumptions'!$F11/12*'FSS 805 Assumptions'!C$24</f>
        <v>0</v>
      </c>
      <c r="D9" s="129">
        <f>'FSS 805 Assumptions'!$C11*'FSS 805 Assumptions'!$F11/12*'FSS 805 Assumptions'!D$24</f>
        <v>0</v>
      </c>
      <c r="E9" s="129">
        <f>'FSS 805 Assumptions'!$C11*'FSS 805 Assumptions'!$F11/12*'FSS 805 Assumptions'!E$24</f>
        <v>0</v>
      </c>
      <c r="F9" s="129">
        <f>'FSS 805 Assumptions'!$C11*'FSS 805 Assumptions'!$F11/12*'FSS 805 Assumptions'!F$24</f>
        <v>0</v>
      </c>
      <c r="G9" s="129">
        <f>'FSS 805 Assumptions'!$C11*'FSS 805 Assumptions'!$F11/12*'FSS 805 Assumptions'!G$24</f>
        <v>0</v>
      </c>
      <c r="H9" s="129">
        <f>'FSS 805 Assumptions'!$C11*'FSS 805 Assumptions'!$F11/12*'FSS 805 Assumptions'!H$24</f>
        <v>0</v>
      </c>
      <c r="I9" s="129">
        <f>'FSS 805 Assumptions'!$C11*'FSS 805 Assumptions'!$F11/12*'FSS 805 Assumptions'!I$24</f>
        <v>0</v>
      </c>
      <c r="J9" s="129">
        <f>'FSS 805 Assumptions'!$C11*'FSS 805 Assumptions'!$F11/12*'FSS 805 Assumptions'!J$24</f>
        <v>0</v>
      </c>
      <c r="K9" s="129">
        <f>'FSS 805 Assumptions'!$C11*'FSS 805 Assumptions'!$F11/12*'FSS 805 Assumptions'!K$24</f>
        <v>0</v>
      </c>
      <c r="L9" s="129">
        <f>'FSS 805 Assumptions'!$C11*'FSS 805 Assumptions'!$F11/12*'FSS 805 Assumptions'!L$24</f>
        <v>0</v>
      </c>
      <c r="M9" s="129">
        <f>'FSS 805 Assumptions'!$C11*'FSS 805 Assumptions'!$F11/12*'FSS 805 Assumptions'!M$24</f>
        <v>0</v>
      </c>
      <c r="N9" s="156">
        <f t="shared" si="0"/>
        <v>0</v>
      </c>
      <c r="O9" s="129">
        <f>'FSS 805 Assumptions'!$C11*'FSS 805 Assumptions'!$F11/12*'FSS 805 Assumptions'!B$33</f>
        <v>0</v>
      </c>
      <c r="P9" s="129">
        <f>'FSS 805 Assumptions'!$C11*'FSS 805 Assumptions'!$F11/12*'FSS 805 Assumptions'!C$33</f>
        <v>0</v>
      </c>
      <c r="Q9" s="129">
        <f>'FSS 805 Assumptions'!$C11*'FSS 805 Assumptions'!$F11/12*'FSS 805 Assumptions'!D$33</f>
        <v>0</v>
      </c>
      <c r="R9" s="129">
        <f>'FSS 805 Assumptions'!$C11*'FSS 805 Assumptions'!$F11/12*'FSS 805 Assumptions'!E$33</f>
        <v>0</v>
      </c>
      <c r="S9" s="129">
        <f>'FSS 805 Assumptions'!$C11*'FSS 805 Assumptions'!$F11/12*'FSS 805 Assumptions'!F$33</f>
        <v>0</v>
      </c>
      <c r="T9" s="129">
        <f>'FSS 805 Assumptions'!$C11*'FSS 805 Assumptions'!$F11/12*'FSS 805 Assumptions'!G$33</f>
        <v>0</v>
      </c>
      <c r="U9" s="129">
        <f>'FSS 805 Assumptions'!$C11*'FSS 805 Assumptions'!$F11/12*'FSS 805 Assumptions'!H$33</f>
        <v>0</v>
      </c>
      <c r="V9" s="129">
        <f>'FSS 805 Assumptions'!$C11*'FSS 805 Assumptions'!$F11/12*'FSS 805 Assumptions'!I$33</f>
        <v>0</v>
      </c>
      <c r="W9" s="129">
        <f>'FSS 805 Assumptions'!$C11*'FSS 805 Assumptions'!$F11/12*'FSS 805 Assumptions'!J$33</f>
        <v>0</v>
      </c>
      <c r="X9" s="129">
        <f>'FSS 805 Assumptions'!$C11*'FSS 805 Assumptions'!$F11/12*'FSS 805 Assumptions'!K$33</f>
        <v>0</v>
      </c>
      <c r="Y9" s="129">
        <f>'FSS 805 Assumptions'!$C11*'FSS 805 Assumptions'!$F11/12*'FSS 805 Assumptions'!L$33</f>
        <v>0</v>
      </c>
      <c r="Z9" s="129">
        <f>'FSS 805 Assumptions'!$C11*'FSS 805 Assumptions'!$F11/12*'FSS 805 Assumptions'!M$33</f>
        <v>0</v>
      </c>
      <c r="AA9" s="59">
        <f t="shared" si="1"/>
        <v>0</v>
      </c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59">
        <f t="shared" ref="AN9:AN14" si="3">SUM(AB9:AM9)</f>
        <v>0</v>
      </c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59">
        <f t="shared" si="2"/>
        <v>0</v>
      </c>
      <c r="BB9" s="59">
        <f>BA9*'FSS 805 Assumptions'!D$43</f>
        <v>0</v>
      </c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</row>
    <row r="10" spans="1:70" x14ac:dyDescent="0.2">
      <c r="A10" s="121" t="s">
        <v>160</v>
      </c>
      <c r="B10" s="129">
        <f>'FSS 805 Assumptions'!$C12*'FSS 805 Assumptions'!$F12/12*'FSS 805 Assumptions'!B$24</f>
        <v>0</v>
      </c>
      <c r="C10" s="129">
        <f>'FSS 805 Assumptions'!$C12*'FSS 805 Assumptions'!$F12/12*'FSS 805 Assumptions'!C$24</f>
        <v>0</v>
      </c>
      <c r="D10" s="129">
        <f>'FSS 805 Assumptions'!$C12*'FSS 805 Assumptions'!$F12/12*'FSS 805 Assumptions'!D$24</f>
        <v>0</v>
      </c>
      <c r="E10" s="129">
        <f>'FSS 805 Assumptions'!$C12*'FSS 805 Assumptions'!$F12/12*'FSS 805 Assumptions'!E$24</f>
        <v>0</v>
      </c>
      <c r="F10" s="129">
        <f>'FSS 805 Assumptions'!$C12*'FSS 805 Assumptions'!$F12/12*'FSS 805 Assumptions'!F$24</f>
        <v>0</v>
      </c>
      <c r="G10" s="129">
        <f>'FSS 805 Assumptions'!$C12*'FSS 805 Assumptions'!$F12/12*'FSS 805 Assumptions'!G$24</f>
        <v>0</v>
      </c>
      <c r="H10" s="129">
        <f>'FSS 805 Assumptions'!$C12*'FSS 805 Assumptions'!$F12/12*'FSS 805 Assumptions'!H$24</f>
        <v>0</v>
      </c>
      <c r="I10" s="129">
        <f>'FSS 805 Assumptions'!$C12*'FSS 805 Assumptions'!$F12/12*'FSS 805 Assumptions'!I$24</f>
        <v>0</v>
      </c>
      <c r="J10" s="129">
        <f>'FSS 805 Assumptions'!$C12*'FSS 805 Assumptions'!$F12/12*'FSS 805 Assumptions'!J$24</f>
        <v>0</v>
      </c>
      <c r="K10" s="129">
        <f>'FSS 805 Assumptions'!$C12*'FSS 805 Assumptions'!$F12/12*'FSS 805 Assumptions'!K$24</f>
        <v>0</v>
      </c>
      <c r="L10" s="129">
        <f>'FSS 805 Assumptions'!$C12*'FSS 805 Assumptions'!$F12/12*'FSS 805 Assumptions'!L$24</f>
        <v>0</v>
      </c>
      <c r="M10" s="129">
        <f>'FSS 805 Assumptions'!$C12*'FSS 805 Assumptions'!$F12/12*'FSS 805 Assumptions'!M$24</f>
        <v>0</v>
      </c>
      <c r="N10" s="156">
        <f t="shared" si="0"/>
        <v>0</v>
      </c>
      <c r="O10" s="129">
        <f>'FSS 805 Assumptions'!$C12*'FSS 805 Assumptions'!$F12/12*'FSS 805 Assumptions'!B$33</f>
        <v>0</v>
      </c>
      <c r="P10" s="129">
        <f>'FSS 805 Assumptions'!$C12*'FSS 805 Assumptions'!$F12/12*'FSS 805 Assumptions'!C$33</f>
        <v>0</v>
      </c>
      <c r="Q10" s="129">
        <f>'FSS 805 Assumptions'!$C12*'FSS 805 Assumptions'!$F12/12*'FSS 805 Assumptions'!D$33</f>
        <v>0</v>
      </c>
      <c r="R10" s="129">
        <f>'FSS 805 Assumptions'!$C12*'FSS 805 Assumptions'!$F12/12*'FSS 805 Assumptions'!E$33</f>
        <v>0</v>
      </c>
      <c r="S10" s="129">
        <f>'FSS 805 Assumptions'!$C12*'FSS 805 Assumptions'!$F12/12*'FSS 805 Assumptions'!F$33</f>
        <v>0</v>
      </c>
      <c r="T10" s="129">
        <f>'FSS 805 Assumptions'!$C12*'FSS 805 Assumptions'!$F12/12*'FSS 805 Assumptions'!G$33</f>
        <v>0</v>
      </c>
      <c r="U10" s="129">
        <f>'FSS 805 Assumptions'!$C12*'FSS 805 Assumptions'!$F12/12*'FSS 805 Assumptions'!H$33</f>
        <v>0</v>
      </c>
      <c r="V10" s="129">
        <f>'FSS 805 Assumptions'!$C12*'FSS 805 Assumptions'!$F12/12*'FSS 805 Assumptions'!I$33</f>
        <v>0</v>
      </c>
      <c r="W10" s="129">
        <f>'FSS 805 Assumptions'!$C12*'FSS 805 Assumptions'!$F12/12*'FSS 805 Assumptions'!J$33</f>
        <v>0</v>
      </c>
      <c r="X10" s="129">
        <f>'FSS 805 Assumptions'!$C12*'FSS 805 Assumptions'!$F12/12*'FSS 805 Assumptions'!K$33</f>
        <v>0</v>
      </c>
      <c r="Y10" s="129">
        <f>'FSS 805 Assumptions'!$C12*'FSS 805 Assumptions'!$F12/12*'FSS 805 Assumptions'!L$33</f>
        <v>0</v>
      </c>
      <c r="Z10" s="129">
        <f>'FSS 805 Assumptions'!$C12*'FSS 805 Assumptions'!$F12/12*'FSS 805 Assumptions'!M$33</f>
        <v>0</v>
      </c>
      <c r="AA10" s="59">
        <f t="shared" si="1"/>
        <v>0</v>
      </c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59">
        <f t="shared" si="3"/>
        <v>0</v>
      </c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59">
        <f t="shared" si="2"/>
        <v>0</v>
      </c>
      <c r="BB10" s="59">
        <f>BA10*'FSS 805 Assumptions'!D$43</f>
        <v>0</v>
      </c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</row>
    <row r="11" spans="1:70" x14ac:dyDescent="0.2">
      <c r="A11" s="52" t="s">
        <v>153</v>
      </c>
      <c r="B11" s="129">
        <f>'FSS 805 Assumptions'!$C13*'FSS 805 Assumptions'!$F13/12*'FSS 805 Assumptions'!B$24</f>
        <v>0</v>
      </c>
      <c r="C11" s="129">
        <f>'FSS 805 Assumptions'!$C13*'FSS 805 Assumptions'!$F13/12*'FSS 805 Assumptions'!C$24</f>
        <v>0</v>
      </c>
      <c r="D11" s="129">
        <f>'FSS 805 Assumptions'!$C13*'FSS 805 Assumptions'!$F13/12*'FSS 805 Assumptions'!D$24</f>
        <v>0</v>
      </c>
      <c r="E11" s="129">
        <f>'FSS 805 Assumptions'!$C13*'FSS 805 Assumptions'!$F13/12*'FSS 805 Assumptions'!E$24</f>
        <v>0</v>
      </c>
      <c r="F11" s="129">
        <f>'FSS 805 Assumptions'!$C13*'FSS 805 Assumptions'!$F13/12*'FSS 805 Assumptions'!F$24</f>
        <v>0</v>
      </c>
      <c r="G11" s="129">
        <f>'FSS 805 Assumptions'!$C13*'FSS 805 Assumptions'!$F13/12*'FSS 805 Assumptions'!G$24</f>
        <v>0</v>
      </c>
      <c r="H11" s="129">
        <f>'FSS 805 Assumptions'!$C13*'FSS 805 Assumptions'!$F13/12*'FSS 805 Assumptions'!H$24</f>
        <v>0</v>
      </c>
      <c r="I11" s="129">
        <f>'FSS 805 Assumptions'!$C13*'FSS 805 Assumptions'!$F13/12*'FSS 805 Assumptions'!I$24</f>
        <v>0</v>
      </c>
      <c r="J11" s="129">
        <f>'FSS 805 Assumptions'!$C13*'FSS 805 Assumptions'!$F13/12*'FSS 805 Assumptions'!J$24</f>
        <v>0</v>
      </c>
      <c r="K11" s="129">
        <f>'FSS 805 Assumptions'!$C13*'FSS 805 Assumptions'!$F13/12*'FSS 805 Assumptions'!K$24</f>
        <v>0</v>
      </c>
      <c r="L11" s="129">
        <f>'FSS 805 Assumptions'!$C13*'FSS 805 Assumptions'!$F13/12*'FSS 805 Assumptions'!L$24</f>
        <v>0</v>
      </c>
      <c r="M11" s="129">
        <f>'FSS 805 Assumptions'!$C13*'FSS 805 Assumptions'!$F13/12*'FSS 805 Assumptions'!M$24</f>
        <v>0</v>
      </c>
      <c r="N11" s="156">
        <f t="shared" si="0"/>
        <v>0</v>
      </c>
      <c r="O11" s="129">
        <f>'FSS 805 Assumptions'!$C13*'FSS 805 Assumptions'!$F13/12*'FSS 805 Assumptions'!B$33</f>
        <v>0</v>
      </c>
      <c r="P11" s="129">
        <f>'FSS 805 Assumptions'!$C13*'FSS 805 Assumptions'!$F13/12*'FSS 805 Assumptions'!C$33</f>
        <v>0</v>
      </c>
      <c r="Q11" s="129">
        <f>'FSS 805 Assumptions'!$C13*'FSS 805 Assumptions'!$F13/12*'FSS 805 Assumptions'!D$33</f>
        <v>0</v>
      </c>
      <c r="R11" s="129">
        <f>'FSS 805 Assumptions'!$C13*'FSS 805 Assumptions'!$F13/12*'FSS 805 Assumptions'!E$33</f>
        <v>0</v>
      </c>
      <c r="S11" s="129">
        <f>'FSS 805 Assumptions'!$C13*'FSS 805 Assumptions'!$F13/12*'FSS 805 Assumptions'!F$33</f>
        <v>0</v>
      </c>
      <c r="T11" s="129">
        <f>'FSS 805 Assumptions'!$C13*'FSS 805 Assumptions'!$F13/12*'FSS 805 Assumptions'!G$33</f>
        <v>0</v>
      </c>
      <c r="U11" s="129">
        <f>'FSS 805 Assumptions'!$C13*'FSS 805 Assumptions'!$F13/12*'FSS 805 Assumptions'!H$33</f>
        <v>0</v>
      </c>
      <c r="V11" s="129">
        <f>'FSS 805 Assumptions'!$C13*'FSS 805 Assumptions'!$F13/12*'FSS 805 Assumptions'!I$33</f>
        <v>0</v>
      </c>
      <c r="W11" s="129">
        <f>'FSS 805 Assumptions'!$C13*'FSS 805 Assumptions'!$F13/12*'FSS 805 Assumptions'!J$33</f>
        <v>0</v>
      </c>
      <c r="X11" s="129">
        <f>'FSS 805 Assumptions'!$C13*'FSS 805 Assumptions'!$F13/12*'FSS 805 Assumptions'!K$33</f>
        <v>0</v>
      </c>
      <c r="Y11" s="129">
        <f>'FSS 805 Assumptions'!$C13*'FSS 805 Assumptions'!$F13/12*'FSS 805 Assumptions'!L$33</f>
        <v>0</v>
      </c>
      <c r="Z11" s="129">
        <f>'FSS 805 Assumptions'!$C13*'FSS 805 Assumptions'!$F13/12*'FSS 805 Assumptions'!M$33</f>
        <v>0</v>
      </c>
      <c r="AA11" s="59">
        <f t="shared" si="1"/>
        <v>0</v>
      </c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59">
        <f t="shared" si="3"/>
        <v>0</v>
      </c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59">
        <f t="shared" si="2"/>
        <v>0</v>
      </c>
      <c r="BB11" s="59">
        <f>BA11*'FSS 805 Assumptions'!D$43</f>
        <v>0</v>
      </c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</row>
    <row r="12" spans="1:70" x14ac:dyDescent="0.2">
      <c r="A12" s="52" t="s">
        <v>280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56">
        <f t="shared" si="0"/>
        <v>0</v>
      </c>
      <c r="O12" s="129"/>
      <c r="P12" s="129"/>
      <c r="Q12" s="129"/>
      <c r="R12" s="129"/>
      <c r="S12" s="129"/>
      <c r="T12" s="129"/>
      <c r="U12" s="129"/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59">
        <f t="shared" si="1"/>
        <v>0</v>
      </c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59">
        <f t="shared" si="3"/>
        <v>0</v>
      </c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59">
        <f t="shared" si="2"/>
        <v>0</v>
      </c>
      <c r="BB12" s="59">
        <v>0</v>
      </c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</row>
    <row r="13" spans="1:70" x14ac:dyDescent="0.2">
      <c r="A13" s="52" t="s">
        <v>281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56">
        <f t="shared" si="0"/>
        <v>0</v>
      </c>
      <c r="O13" s="129"/>
      <c r="P13" s="129"/>
      <c r="Q13" s="129"/>
      <c r="R13" s="129"/>
      <c r="S13" s="129"/>
      <c r="T13" s="129"/>
      <c r="U13" s="129"/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59">
        <f t="shared" si="1"/>
        <v>0</v>
      </c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59">
        <f t="shared" si="3"/>
        <v>0</v>
      </c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59">
        <f t="shared" si="2"/>
        <v>0</v>
      </c>
      <c r="BB13" s="59">
        <v>0</v>
      </c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</row>
    <row r="14" spans="1:70" x14ac:dyDescent="0.2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56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59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59">
        <f t="shared" si="3"/>
        <v>0</v>
      </c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59">
        <f t="shared" si="2"/>
        <v>0</v>
      </c>
      <c r="BB14" s="59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</row>
    <row r="15" spans="1:70" ht="6" customHeight="1" x14ac:dyDescent="0.2">
      <c r="A15" s="62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57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</row>
    <row r="16" spans="1:70" s="71" customFormat="1" collapsed="1" x14ac:dyDescent="0.2">
      <c r="A16" s="69" t="s">
        <v>162</v>
      </c>
      <c r="B16" s="70">
        <f t="shared" ref="B16:N16" si="4">SUM(B8:B15)</f>
        <v>0</v>
      </c>
      <c r="C16" s="70">
        <f t="shared" si="4"/>
        <v>0</v>
      </c>
      <c r="D16" s="70">
        <f t="shared" si="4"/>
        <v>0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0">
        <f t="shared" si="4"/>
        <v>0</v>
      </c>
      <c r="O16" s="70">
        <f t="shared" ref="O16:AM16" si="5">SUM(O8:O15)</f>
        <v>0</v>
      </c>
      <c r="P16" s="70">
        <f t="shared" si="5"/>
        <v>0</v>
      </c>
      <c r="Q16" s="70">
        <f t="shared" si="5"/>
        <v>0</v>
      </c>
      <c r="R16" s="70">
        <f t="shared" si="5"/>
        <v>0</v>
      </c>
      <c r="S16" s="70">
        <f t="shared" si="5"/>
        <v>0</v>
      </c>
      <c r="T16" s="70">
        <f t="shared" si="5"/>
        <v>0</v>
      </c>
      <c r="U16" s="70">
        <f t="shared" si="5"/>
        <v>0</v>
      </c>
      <c r="V16" s="70">
        <f t="shared" si="5"/>
        <v>0</v>
      </c>
      <c r="W16" s="70">
        <f t="shared" si="5"/>
        <v>0</v>
      </c>
      <c r="X16" s="70">
        <f t="shared" si="5"/>
        <v>0</v>
      </c>
      <c r="Y16" s="70">
        <f t="shared" si="5"/>
        <v>0</v>
      </c>
      <c r="Z16" s="70">
        <f t="shared" si="5"/>
        <v>0</v>
      </c>
      <c r="AA16" s="81">
        <f>SUM(AA8:AA15)</f>
        <v>0</v>
      </c>
      <c r="AB16" s="70">
        <f t="shared" si="5"/>
        <v>0</v>
      </c>
      <c r="AC16" s="70">
        <f t="shared" si="5"/>
        <v>0</v>
      </c>
      <c r="AD16" s="70">
        <f t="shared" si="5"/>
        <v>0</v>
      </c>
      <c r="AE16" s="70">
        <f t="shared" si="5"/>
        <v>0</v>
      </c>
      <c r="AF16" s="70">
        <f t="shared" si="5"/>
        <v>0</v>
      </c>
      <c r="AG16" s="70">
        <f t="shared" si="5"/>
        <v>0</v>
      </c>
      <c r="AH16" s="70">
        <f t="shared" si="5"/>
        <v>0</v>
      </c>
      <c r="AI16" s="70">
        <f t="shared" si="5"/>
        <v>0</v>
      </c>
      <c r="AJ16" s="70">
        <f t="shared" si="5"/>
        <v>0</v>
      </c>
      <c r="AK16" s="70">
        <f t="shared" si="5"/>
        <v>0</v>
      </c>
      <c r="AL16" s="70">
        <f t="shared" si="5"/>
        <v>0</v>
      </c>
      <c r="AM16" s="70">
        <f t="shared" si="5"/>
        <v>0</v>
      </c>
      <c r="AN16" s="81">
        <f>SUM(AN8:AN15)</f>
        <v>0</v>
      </c>
      <c r="AO16" s="81">
        <f t="shared" ref="AO16:AZ16" si="6">SUM(AO8:AO15)</f>
        <v>0</v>
      </c>
      <c r="AP16" s="81">
        <f t="shared" si="6"/>
        <v>0</v>
      </c>
      <c r="AQ16" s="81">
        <f t="shared" si="6"/>
        <v>0</v>
      </c>
      <c r="AR16" s="81">
        <f t="shared" si="6"/>
        <v>0</v>
      </c>
      <c r="AS16" s="81">
        <f t="shared" si="6"/>
        <v>0</v>
      </c>
      <c r="AT16" s="81">
        <f t="shared" si="6"/>
        <v>0</v>
      </c>
      <c r="AU16" s="81">
        <f t="shared" si="6"/>
        <v>0</v>
      </c>
      <c r="AV16" s="81">
        <f t="shared" si="6"/>
        <v>0</v>
      </c>
      <c r="AW16" s="81">
        <f t="shared" si="6"/>
        <v>0</v>
      </c>
      <c r="AX16" s="81">
        <f t="shared" si="6"/>
        <v>0</v>
      </c>
      <c r="AY16" s="81">
        <f t="shared" si="6"/>
        <v>0</v>
      </c>
      <c r="AZ16" s="81">
        <f t="shared" si="6"/>
        <v>0</v>
      </c>
      <c r="BA16" s="81">
        <f>SUM(BA8:BA15)</f>
        <v>0</v>
      </c>
      <c r="BB16" s="81">
        <f>SUM(BB8:BB15)</f>
        <v>0</v>
      </c>
    </row>
    <row r="17" spans="1:70" s="73" customFormat="1" x14ac:dyDescent="0.2">
      <c r="A17" s="61" t="s">
        <v>445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0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</row>
    <row r="18" spans="1:70" x14ac:dyDescent="0.2">
      <c r="A18" s="107" t="s">
        <v>437</v>
      </c>
      <c r="B18" s="129">
        <f>'FSS 805 Assumptions'!$D9*'FSS 805 Assumptions'!$E9*'FSS 805 Assumptions'!B$24*'FSS 805 Assumptions'!B$29</f>
        <v>0</v>
      </c>
      <c r="C18" s="129">
        <f>'FSS 805 Assumptions'!$D9*'FSS 805 Assumptions'!$E9*'FSS 805 Assumptions'!C$24*'FSS 805 Assumptions'!C$29</f>
        <v>0</v>
      </c>
      <c r="D18" s="129">
        <f>'FSS 805 Assumptions'!$D9*'FSS 805 Assumptions'!$E9*'FSS 805 Assumptions'!D$24*'FSS 805 Assumptions'!D$29</f>
        <v>0</v>
      </c>
      <c r="E18" s="129">
        <f>'FSS 805 Assumptions'!$D9*'FSS 805 Assumptions'!$E9*'FSS 805 Assumptions'!E$24*'FSS 805 Assumptions'!E$29</f>
        <v>7650.0000000000009</v>
      </c>
      <c r="F18" s="129">
        <f>'FSS 805 Assumptions'!$D9*'FSS 805 Assumptions'!$E9*'FSS 805 Assumptions'!F$24*'FSS 805 Assumptions'!F$29</f>
        <v>18000</v>
      </c>
      <c r="G18" s="129">
        <f>'FSS 805 Assumptions'!$D9*'FSS 805 Assumptions'!$E9*'FSS 805 Assumptions'!G$24*'FSS 805 Assumptions'!G$29</f>
        <v>22500</v>
      </c>
      <c r="H18" s="129">
        <f>'FSS 805 Assumptions'!$D9*'FSS 805 Assumptions'!$E9*'FSS 805 Assumptions'!H$24*'FSS 805 Assumptions'!H$29</f>
        <v>27000</v>
      </c>
      <c r="I18" s="129">
        <f>'FSS 805 Assumptions'!$D9*'FSS 805 Assumptions'!$E9*'FSS 805 Assumptions'!I$24*'FSS 805 Assumptions'!I$29</f>
        <v>28349.999999999996</v>
      </c>
      <c r="J18" s="129">
        <f>'FSS 805 Assumptions'!$D9*'FSS 805 Assumptions'!$E9*'FSS 805 Assumptions'!J$24*'FSS 805 Assumptions'!J$29</f>
        <v>32400</v>
      </c>
      <c r="K18" s="129">
        <f>'FSS 805 Assumptions'!$D9*'FSS 805 Assumptions'!$E9*'FSS 805 Assumptions'!K$24*'FSS 805 Assumptions'!K$29</f>
        <v>36450</v>
      </c>
      <c r="L18" s="129">
        <f>'FSS 805 Assumptions'!$D9*'FSS 805 Assumptions'!$E9*'FSS 805 Assumptions'!L$24*'FSS 805 Assumptions'!L$29</f>
        <v>36450</v>
      </c>
      <c r="M18" s="129">
        <f>'FSS 805 Assumptions'!$D9*'FSS 805 Assumptions'!$E9*'FSS 805 Assumptions'!M$24*'FSS 805 Assumptions'!M$29</f>
        <v>36450</v>
      </c>
      <c r="N18" s="158">
        <f t="shared" ref="N18:N23" si="7">SUM(B18:M18)</f>
        <v>245250</v>
      </c>
      <c r="O18" s="129">
        <f>'FSS 805 Assumptions'!$D9*'FSS 805 Assumptions'!$E9*'FSS 805 Assumptions'!B$34*'FSS 805 Assumptions'!B$39</f>
        <v>36450</v>
      </c>
      <c r="P18" s="129">
        <f>'FSS 805 Assumptions'!$D9*'FSS 805 Assumptions'!$E9*'FSS 805 Assumptions'!C$34*'FSS 805 Assumptions'!C$39</f>
        <v>36450</v>
      </c>
      <c r="Q18" s="129">
        <f>'FSS 805 Assumptions'!$D9*'FSS 805 Assumptions'!$E9*'FSS 805 Assumptions'!D$34*'FSS 805 Assumptions'!D$39</f>
        <v>36450</v>
      </c>
      <c r="R18" s="129">
        <f>'FSS 805 Assumptions'!$D9*'FSS 805 Assumptions'!$E9*'FSS 805 Assumptions'!E$34*'FSS 805 Assumptions'!E$39</f>
        <v>36450</v>
      </c>
      <c r="S18" s="129">
        <f>'FSS 805 Assumptions'!$D9*'FSS 805 Assumptions'!$E9*'FSS 805 Assumptions'!F$34*'FSS 805 Assumptions'!F$39</f>
        <v>36450</v>
      </c>
      <c r="T18" s="129">
        <f>'FSS 805 Assumptions'!$D9*'FSS 805 Assumptions'!$E9*'FSS 805 Assumptions'!G$34*'FSS 805 Assumptions'!G$39</f>
        <v>36450</v>
      </c>
      <c r="U18" s="129">
        <f>'FSS 805 Assumptions'!$D9*'FSS 805 Assumptions'!$E9*'FSS 805 Assumptions'!H$34*'FSS 805 Assumptions'!H$39</f>
        <v>36450</v>
      </c>
      <c r="V18" s="129">
        <f>'FSS 805 Assumptions'!$D9*'FSS 805 Assumptions'!$E9*'FSS 805 Assumptions'!I$34*'FSS 805 Assumptions'!I$39</f>
        <v>36450</v>
      </c>
      <c r="W18" s="129">
        <f>'FSS 805 Assumptions'!$D9*'FSS 805 Assumptions'!$E9*'FSS 805 Assumptions'!J$34*'FSS 805 Assumptions'!J$39</f>
        <v>36450</v>
      </c>
      <c r="X18" s="129">
        <f>'FSS 805 Assumptions'!$D9*'FSS 805 Assumptions'!$E9*'FSS 805 Assumptions'!K$34*'FSS 805 Assumptions'!K$39</f>
        <v>36450</v>
      </c>
      <c r="Y18" s="129">
        <f>'FSS 805 Assumptions'!$D9*'FSS 805 Assumptions'!$E9*'FSS 805 Assumptions'!L$34*'FSS 805 Assumptions'!L$39</f>
        <v>36450</v>
      </c>
      <c r="Z18" s="129">
        <f>'FSS 805 Assumptions'!$D9*'FSS 805 Assumptions'!$E9*'FSS 805 Assumptions'!M$34*'FSS 805 Assumptions'!M$39</f>
        <v>36450</v>
      </c>
      <c r="AA18" s="59">
        <f t="shared" ref="AA18:AA22" si="8">SUM(O18:Z18)</f>
        <v>437400</v>
      </c>
      <c r="AB18" s="129">
        <f>$Z18*(1+'FSS 805 Assumptions'!$B$43)</f>
        <v>37543.5</v>
      </c>
      <c r="AC18" s="129">
        <f>$Z18*(1+'FSS 805 Assumptions'!$B$43)</f>
        <v>37543.5</v>
      </c>
      <c r="AD18" s="129">
        <f>$Z18*(1+'FSS 805 Assumptions'!$B$43)</f>
        <v>37543.5</v>
      </c>
      <c r="AE18" s="129">
        <f>$Z18*(1+'FSS 805 Assumptions'!$B$43)</f>
        <v>37543.5</v>
      </c>
      <c r="AF18" s="129">
        <f>$Z18*(1+'FSS 805 Assumptions'!$B$43)</f>
        <v>37543.5</v>
      </c>
      <c r="AG18" s="129">
        <f>$Z18*(1+'FSS 805 Assumptions'!$B$43)</f>
        <v>37543.5</v>
      </c>
      <c r="AH18" s="129">
        <f>$Z18*(1+'FSS 805 Assumptions'!$B$43)</f>
        <v>37543.5</v>
      </c>
      <c r="AI18" s="129">
        <f>$Z18*(1+'FSS 805 Assumptions'!$B$43)</f>
        <v>37543.5</v>
      </c>
      <c r="AJ18" s="129">
        <f>$Z18*(1+'FSS 805 Assumptions'!$B$43)</f>
        <v>37543.5</v>
      </c>
      <c r="AK18" s="129">
        <f>$Z18*(1+'FSS 805 Assumptions'!$B$43)</f>
        <v>37543.5</v>
      </c>
      <c r="AL18" s="129">
        <f>$Z18*(1+'FSS 805 Assumptions'!$B$43)</f>
        <v>37543.5</v>
      </c>
      <c r="AM18" s="129">
        <f>$Z18*(1+'FSS 805 Assumptions'!$B$43)</f>
        <v>37543.5</v>
      </c>
      <c r="AN18" s="59">
        <f>SUM(AB18:AM18)</f>
        <v>450522</v>
      </c>
      <c r="AO18" s="129">
        <f>$AM18*(1+'FSS 805 Assumptions'!$C$43)</f>
        <v>38669.805</v>
      </c>
      <c r="AP18" s="129">
        <f>$AM18*(1+'FSS 805 Assumptions'!$C$43)</f>
        <v>38669.805</v>
      </c>
      <c r="AQ18" s="129">
        <f>$AM18*(1+'FSS 805 Assumptions'!$C$43)</f>
        <v>38669.805</v>
      </c>
      <c r="AR18" s="129">
        <f>$AM18*(1+'FSS 805 Assumptions'!$C$43)</f>
        <v>38669.805</v>
      </c>
      <c r="AS18" s="129">
        <f>$AM18*(1+'FSS 805 Assumptions'!$C$43)</f>
        <v>38669.805</v>
      </c>
      <c r="AT18" s="129">
        <f>$AM18*(1+'FSS 805 Assumptions'!$C$43)</f>
        <v>38669.805</v>
      </c>
      <c r="AU18" s="129">
        <f>$AM18*(1+'FSS 805 Assumptions'!$C$43)</f>
        <v>38669.805</v>
      </c>
      <c r="AV18" s="129">
        <f>$AM18*(1+'FSS 805 Assumptions'!$C$43)</f>
        <v>38669.805</v>
      </c>
      <c r="AW18" s="129">
        <f>$AM18*(1+'FSS 805 Assumptions'!$C$43)</f>
        <v>38669.805</v>
      </c>
      <c r="AX18" s="129">
        <f>$AM18*(1+'FSS 805 Assumptions'!$C$43)</f>
        <v>38669.805</v>
      </c>
      <c r="AY18" s="129">
        <f>$AM18*(1+'FSS 805 Assumptions'!$C$43)</f>
        <v>38669.805</v>
      </c>
      <c r="AZ18" s="129">
        <f>$AM18*(1+'FSS 805 Assumptions'!$C$43)</f>
        <v>38669.805</v>
      </c>
      <c r="BA18" s="59">
        <f>SUM(AO18:AZ18)</f>
        <v>464037.66</v>
      </c>
      <c r="BB18" s="59">
        <f>BA18*(1+'FSS 805 Assumptions'!D$43)</f>
        <v>477958.78979999997</v>
      </c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</row>
    <row r="19" spans="1:70" x14ac:dyDescent="0.2">
      <c r="A19" s="107" t="s">
        <v>429</v>
      </c>
      <c r="B19" s="129">
        <f>'FSS 805 Assumptions'!$D10*'FSS 805 Assumptions'!$E10*'FSS 805 Assumptions'!B$25*'FSS 805 Assumptions'!B$29</f>
        <v>0</v>
      </c>
      <c r="C19" s="129">
        <f>'FSS 805 Assumptions'!$D10*'FSS 805 Assumptions'!$E10*'FSS 805 Assumptions'!C$25*'FSS 805 Assumptions'!C$29</f>
        <v>0</v>
      </c>
      <c r="D19" s="129">
        <f>'FSS 805 Assumptions'!$D10*'FSS 805 Assumptions'!$E10*'FSS 805 Assumptions'!D$25*'FSS 805 Assumptions'!D$29</f>
        <v>0</v>
      </c>
      <c r="E19" s="129">
        <f>'FSS 805 Assumptions'!$D10*'FSS 805 Assumptions'!$E10*'FSS 805 Assumptions'!E$25*'FSS 805 Assumptions'!E$29</f>
        <v>2314.5</v>
      </c>
      <c r="F19" s="129">
        <f>'FSS 805 Assumptions'!$D10*'FSS 805 Assumptions'!$E10*'FSS 805 Assumptions'!F$25*'FSS 805 Assumptions'!F$29</f>
        <v>2314.5</v>
      </c>
      <c r="G19" s="129">
        <f>'FSS 805 Assumptions'!$D10*'FSS 805 Assumptions'!$E10*'FSS 805 Assumptions'!G$25*'FSS 805 Assumptions'!G$29</f>
        <v>4629</v>
      </c>
      <c r="H19" s="129">
        <f>'FSS 805 Assumptions'!$D10*'FSS 805 Assumptions'!$E10*'FSS 805 Assumptions'!H$25*'FSS 805 Assumptions'!H$29</f>
        <v>11572.5</v>
      </c>
      <c r="I19" s="129">
        <f>'FSS 805 Assumptions'!$D10*'FSS 805 Assumptions'!$E10*'FSS 805 Assumptions'!I$25*'FSS 805 Assumptions'!I$29</f>
        <v>104152.5</v>
      </c>
      <c r="J19" s="129">
        <f>'FSS 805 Assumptions'!$D10*'FSS 805 Assumptions'!$E10*'FSS 805 Assumptions'!J$25*'FSS 805 Assumptions'!J$29</f>
        <v>177059.25</v>
      </c>
      <c r="K19" s="129">
        <f>'FSS 805 Assumptions'!$D10*'FSS 805 Assumptions'!$E10*'FSS 805 Assumptions'!K$25*'FSS 805 Assumptions'!K$29</f>
        <v>177059.25</v>
      </c>
      <c r="L19" s="129">
        <f>'FSS 805 Assumptions'!$D10*'FSS 805 Assumptions'!$E10*'FSS 805 Assumptions'!L$25*'FSS 805 Assumptions'!L$29</f>
        <v>177059.25</v>
      </c>
      <c r="M19" s="129">
        <f>'FSS 805 Assumptions'!$D10*'FSS 805 Assumptions'!$E10*'FSS 805 Assumptions'!M$25*'FSS 805 Assumptions'!M$29</f>
        <v>187474.5</v>
      </c>
      <c r="N19" s="158">
        <f t="shared" si="7"/>
        <v>843635.25</v>
      </c>
      <c r="O19" s="129">
        <f>'FSS 805 Assumptions'!$D10*'FSS 805 Assumptions'!$E10*'FSS 805 Assumptions'!B$35*'FSS 805 Assumptions'!B$39</f>
        <v>187474.5</v>
      </c>
      <c r="P19" s="129">
        <f>'FSS 805 Assumptions'!$D10*'FSS 805 Assumptions'!$E10*'FSS 805 Assumptions'!C$35*'FSS 805 Assumptions'!C$39</f>
        <v>187474.5</v>
      </c>
      <c r="Q19" s="129">
        <f>'FSS 805 Assumptions'!$D10*'FSS 805 Assumptions'!$E10*'FSS 805 Assumptions'!D$35*'FSS 805 Assumptions'!D$39</f>
        <v>187474.5</v>
      </c>
      <c r="R19" s="129">
        <f>'FSS 805 Assumptions'!$D10*'FSS 805 Assumptions'!$E10*'FSS 805 Assumptions'!E$35*'FSS 805 Assumptions'!E$39</f>
        <v>187474.5</v>
      </c>
      <c r="S19" s="129">
        <f>'FSS 805 Assumptions'!$D10*'FSS 805 Assumptions'!$E10*'FSS 805 Assumptions'!F$35*'FSS 805 Assumptions'!F$39</f>
        <v>187474.5</v>
      </c>
      <c r="T19" s="129">
        <f>'FSS 805 Assumptions'!$D10*'FSS 805 Assumptions'!$E10*'FSS 805 Assumptions'!G$35*'FSS 805 Assumptions'!G$39</f>
        <v>187474.5</v>
      </c>
      <c r="U19" s="129">
        <f>'FSS 805 Assumptions'!$D10*'FSS 805 Assumptions'!$E10*'FSS 805 Assumptions'!H$35*'FSS 805 Assumptions'!H$39</f>
        <v>187474.5</v>
      </c>
      <c r="V19" s="129">
        <f>'FSS 805 Assumptions'!$D10*'FSS 805 Assumptions'!$E10*'FSS 805 Assumptions'!I$35*'FSS 805 Assumptions'!I$39</f>
        <v>187474.5</v>
      </c>
      <c r="W19" s="129">
        <f>'FSS 805 Assumptions'!$D10*'FSS 805 Assumptions'!$E10*'FSS 805 Assumptions'!J$35*'FSS 805 Assumptions'!J$39</f>
        <v>187474.5</v>
      </c>
      <c r="X19" s="129">
        <f>'FSS 805 Assumptions'!$D10*'FSS 805 Assumptions'!$E10*'FSS 805 Assumptions'!K$35*'FSS 805 Assumptions'!K$39</f>
        <v>187474.5</v>
      </c>
      <c r="Y19" s="129">
        <f>'FSS 805 Assumptions'!$D10*'FSS 805 Assumptions'!$E10*'FSS 805 Assumptions'!L$35*'FSS 805 Assumptions'!L$39</f>
        <v>187474.5</v>
      </c>
      <c r="Z19" s="129">
        <f>'FSS 805 Assumptions'!$D10*'FSS 805 Assumptions'!$E10*'FSS 805 Assumptions'!M$35*'FSS 805 Assumptions'!M$39</f>
        <v>187474.5</v>
      </c>
      <c r="AA19" s="59">
        <f t="shared" si="8"/>
        <v>2249694</v>
      </c>
      <c r="AB19" s="129">
        <f>$Z19*(1+'FSS 805 Assumptions'!$B$43)</f>
        <v>193098.73500000002</v>
      </c>
      <c r="AC19" s="129">
        <f>$Z19*(1+'FSS 805 Assumptions'!$B$43)</f>
        <v>193098.73500000002</v>
      </c>
      <c r="AD19" s="129">
        <f>$Z19*(1+'FSS 805 Assumptions'!$B$43)</f>
        <v>193098.73500000002</v>
      </c>
      <c r="AE19" s="129">
        <f>$Z19*(1+'FSS 805 Assumptions'!$B$43)</f>
        <v>193098.73500000002</v>
      </c>
      <c r="AF19" s="129">
        <f>$Z19*(1+'FSS 805 Assumptions'!$B$43)</f>
        <v>193098.73500000002</v>
      </c>
      <c r="AG19" s="129">
        <f>$Z19*(1+'FSS 805 Assumptions'!$B$43)</f>
        <v>193098.73500000002</v>
      </c>
      <c r="AH19" s="129">
        <f>$Z19*(1+'FSS 805 Assumptions'!$B$43)</f>
        <v>193098.73500000002</v>
      </c>
      <c r="AI19" s="129">
        <f>$Z19*(1+'FSS 805 Assumptions'!$B$43)</f>
        <v>193098.73500000002</v>
      </c>
      <c r="AJ19" s="129">
        <f>$Z19*(1+'FSS 805 Assumptions'!$B$43)</f>
        <v>193098.73500000002</v>
      </c>
      <c r="AK19" s="129">
        <f>$Z19*(1+'FSS 805 Assumptions'!$B$43)</f>
        <v>193098.73500000002</v>
      </c>
      <c r="AL19" s="129">
        <f>$Z19*(1+'FSS 805 Assumptions'!$B$43)</f>
        <v>193098.73500000002</v>
      </c>
      <c r="AM19" s="129">
        <f>$Z19*(1+'FSS 805 Assumptions'!$B$43)</f>
        <v>193098.73500000002</v>
      </c>
      <c r="AN19" s="59">
        <f t="shared" ref="AN19:AN22" si="9">SUM(AB19:AM19)</f>
        <v>2317184.8200000003</v>
      </c>
      <c r="AO19" s="129">
        <f>$AM19*(1+'FSS 805 Assumptions'!$C$43)</f>
        <v>198891.69705000002</v>
      </c>
      <c r="AP19" s="129">
        <f>$AM19*(1+'FSS 805 Assumptions'!$C$43)</f>
        <v>198891.69705000002</v>
      </c>
      <c r="AQ19" s="129">
        <f>$AM19*(1+'FSS 805 Assumptions'!$C$43)</f>
        <v>198891.69705000002</v>
      </c>
      <c r="AR19" s="129">
        <f>$AM19*(1+'FSS 805 Assumptions'!$C$43)</f>
        <v>198891.69705000002</v>
      </c>
      <c r="AS19" s="129">
        <f>$AM19*(1+'FSS 805 Assumptions'!$C$43)</f>
        <v>198891.69705000002</v>
      </c>
      <c r="AT19" s="129">
        <f>$AM19*(1+'FSS 805 Assumptions'!$C$43)</f>
        <v>198891.69705000002</v>
      </c>
      <c r="AU19" s="129">
        <f>$AM19*(1+'FSS 805 Assumptions'!$C$43)</f>
        <v>198891.69705000002</v>
      </c>
      <c r="AV19" s="129">
        <f>$AM19*(1+'FSS 805 Assumptions'!$C$43)</f>
        <v>198891.69705000002</v>
      </c>
      <c r="AW19" s="129">
        <f>$AM19*(1+'FSS 805 Assumptions'!$C$43)</f>
        <v>198891.69705000002</v>
      </c>
      <c r="AX19" s="129">
        <f>$AM19*(1+'FSS 805 Assumptions'!$C$43)</f>
        <v>198891.69705000002</v>
      </c>
      <c r="AY19" s="129">
        <f>$AM19*(1+'FSS 805 Assumptions'!$C$43)</f>
        <v>198891.69705000002</v>
      </c>
      <c r="AZ19" s="129">
        <f>$AM19*(1+'FSS 805 Assumptions'!$C$43)</f>
        <v>198891.69705000002</v>
      </c>
      <c r="BA19" s="59">
        <f t="shared" ref="BA19:BA22" si="10">SUM(AO19:AZ19)</f>
        <v>2386700.3646000004</v>
      </c>
      <c r="BB19" s="59">
        <f>BA19*(1+'FSS 805 Assumptions'!D$43)</f>
        <v>2458301.3755380004</v>
      </c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</row>
    <row r="20" spans="1:70" x14ac:dyDescent="0.2">
      <c r="A20" s="107" t="s">
        <v>395</v>
      </c>
      <c r="B20" s="129">
        <f>'FSS 805 Assumptions'!$D11*'FSS 805 Assumptions'!$E11*'FSS 805 Assumptions'!B$26*'FSS 805 Assumptions'!B$29</f>
        <v>0</v>
      </c>
      <c r="C20" s="129">
        <f>'FSS 805 Assumptions'!$D11*'FSS 805 Assumptions'!$E11*'FSS 805 Assumptions'!C$26*'FSS 805 Assumptions'!C$29</f>
        <v>0</v>
      </c>
      <c r="D20" s="129">
        <f>'FSS 805 Assumptions'!$D11*'FSS 805 Assumptions'!$E11*'FSS 805 Assumptions'!D$26*'FSS 805 Assumptions'!D$29</f>
        <v>0</v>
      </c>
      <c r="E20" s="129">
        <f>'FSS 805 Assumptions'!$D11*'FSS 805 Assumptions'!$E11*'FSS 805 Assumptions'!E$26*'FSS 805 Assumptions'!E$29</f>
        <v>625</v>
      </c>
      <c r="F20" s="129">
        <f>'FSS 805 Assumptions'!$D11*'FSS 805 Assumptions'!$E11*'FSS 805 Assumptions'!F$26*'FSS 805 Assumptions'!F$29</f>
        <v>625</v>
      </c>
      <c r="G20" s="129">
        <f>'FSS 805 Assumptions'!$D11*'FSS 805 Assumptions'!$E11*'FSS 805 Assumptions'!G$26*'FSS 805 Assumptions'!G$29</f>
        <v>1250</v>
      </c>
      <c r="H20" s="129">
        <f>'FSS 805 Assumptions'!$D11*'FSS 805 Assumptions'!$E11*'FSS 805 Assumptions'!H$26*'FSS 805 Assumptions'!H$29</f>
        <v>3125</v>
      </c>
      <c r="I20" s="129">
        <f>'FSS 805 Assumptions'!$D11*'FSS 805 Assumptions'!$E11*'FSS 805 Assumptions'!I$26*'FSS 805 Assumptions'!I$29</f>
        <v>28125</v>
      </c>
      <c r="J20" s="129">
        <f>'FSS 805 Assumptions'!$D11*'FSS 805 Assumptions'!$E11*'FSS 805 Assumptions'!J$26*'FSS 805 Assumptions'!J$29</f>
        <v>47812.5</v>
      </c>
      <c r="K20" s="129">
        <f>'FSS 805 Assumptions'!$D11*'FSS 805 Assumptions'!$E11*'FSS 805 Assumptions'!K$26*'FSS 805 Assumptions'!K$29</f>
        <v>47812.5</v>
      </c>
      <c r="L20" s="129">
        <f>'FSS 805 Assumptions'!$D11*'FSS 805 Assumptions'!$E11*'FSS 805 Assumptions'!L$26*'FSS 805 Assumptions'!L$29</f>
        <v>47812.5</v>
      </c>
      <c r="M20" s="129">
        <f>'FSS 805 Assumptions'!$D11*'FSS 805 Assumptions'!$E11*'FSS 805 Assumptions'!M$26*'FSS 805 Assumptions'!M$29</f>
        <v>50625</v>
      </c>
      <c r="N20" s="158">
        <f t="shared" si="7"/>
        <v>227812.5</v>
      </c>
      <c r="O20" s="129">
        <f>'FSS 805 Assumptions'!$D11*'FSS 805 Assumptions'!$E11*'FSS 805 Assumptions'!B$36*'FSS 805 Assumptions'!B$39</f>
        <v>50625</v>
      </c>
      <c r="P20" s="129">
        <f>'FSS 805 Assumptions'!$D11*'FSS 805 Assumptions'!$E11*'FSS 805 Assumptions'!C$36*'FSS 805 Assumptions'!C$39</f>
        <v>50625</v>
      </c>
      <c r="Q20" s="129">
        <f>'FSS 805 Assumptions'!$D11*'FSS 805 Assumptions'!$E11*'FSS 805 Assumptions'!D$36*'FSS 805 Assumptions'!D$39</f>
        <v>50625</v>
      </c>
      <c r="R20" s="129">
        <f>'FSS 805 Assumptions'!$D11*'FSS 805 Assumptions'!$E11*'FSS 805 Assumptions'!E$36*'FSS 805 Assumptions'!E$39</f>
        <v>50625</v>
      </c>
      <c r="S20" s="129">
        <f>'FSS 805 Assumptions'!$D11*'FSS 805 Assumptions'!$E11*'FSS 805 Assumptions'!F$36*'FSS 805 Assumptions'!F$39</f>
        <v>50625</v>
      </c>
      <c r="T20" s="129">
        <f>'FSS 805 Assumptions'!$D11*'FSS 805 Assumptions'!$E11*'FSS 805 Assumptions'!G$36*'FSS 805 Assumptions'!G$39</f>
        <v>50625</v>
      </c>
      <c r="U20" s="129">
        <f>'FSS 805 Assumptions'!$D11*'FSS 805 Assumptions'!$E11*'FSS 805 Assumptions'!H$36*'FSS 805 Assumptions'!H$39</f>
        <v>50625</v>
      </c>
      <c r="V20" s="129">
        <f>'FSS 805 Assumptions'!$D11*'FSS 805 Assumptions'!$E11*'FSS 805 Assumptions'!I$36*'FSS 805 Assumptions'!I$39</f>
        <v>50625</v>
      </c>
      <c r="W20" s="129">
        <f>'FSS 805 Assumptions'!$D11*'FSS 805 Assumptions'!$E11*'FSS 805 Assumptions'!J$36*'FSS 805 Assumptions'!J$39</f>
        <v>50625</v>
      </c>
      <c r="X20" s="129">
        <f>'FSS 805 Assumptions'!$D11*'FSS 805 Assumptions'!$E11*'FSS 805 Assumptions'!K$36*'FSS 805 Assumptions'!K$39</f>
        <v>50625</v>
      </c>
      <c r="Y20" s="129">
        <f>'FSS 805 Assumptions'!$D11*'FSS 805 Assumptions'!$E11*'FSS 805 Assumptions'!L$36*'FSS 805 Assumptions'!L$39</f>
        <v>50625</v>
      </c>
      <c r="Z20" s="129">
        <f>'FSS 805 Assumptions'!$D11*'FSS 805 Assumptions'!$E11*'FSS 805 Assumptions'!M$36*'FSS 805 Assumptions'!M$39</f>
        <v>50625</v>
      </c>
      <c r="AA20" s="59">
        <f t="shared" si="8"/>
        <v>607500</v>
      </c>
      <c r="AB20" s="129">
        <f>$Z20*(1+'FSS 805 Assumptions'!$B$43)</f>
        <v>52143.75</v>
      </c>
      <c r="AC20" s="129">
        <f>$Z20*(1+'FSS 805 Assumptions'!$B$43)</f>
        <v>52143.75</v>
      </c>
      <c r="AD20" s="129">
        <f>$Z20*(1+'FSS 805 Assumptions'!$B$43)</f>
        <v>52143.75</v>
      </c>
      <c r="AE20" s="129">
        <f>$Z20*(1+'FSS 805 Assumptions'!$B$43)</f>
        <v>52143.75</v>
      </c>
      <c r="AF20" s="129">
        <f>$Z20*(1+'FSS 805 Assumptions'!$B$43)</f>
        <v>52143.75</v>
      </c>
      <c r="AG20" s="129">
        <f>$Z20*(1+'FSS 805 Assumptions'!$B$43)</f>
        <v>52143.75</v>
      </c>
      <c r="AH20" s="129">
        <f>$Z20*(1+'FSS 805 Assumptions'!$B$43)</f>
        <v>52143.75</v>
      </c>
      <c r="AI20" s="129">
        <f>$Z20*(1+'FSS 805 Assumptions'!$B$43)</f>
        <v>52143.75</v>
      </c>
      <c r="AJ20" s="129">
        <f>$Z20*(1+'FSS 805 Assumptions'!$B$43)</f>
        <v>52143.75</v>
      </c>
      <c r="AK20" s="129">
        <f>$Z20*(1+'FSS 805 Assumptions'!$B$43)</f>
        <v>52143.75</v>
      </c>
      <c r="AL20" s="129">
        <f>$Z20*(1+'FSS 805 Assumptions'!$B$43)</f>
        <v>52143.75</v>
      </c>
      <c r="AM20" s="129">
        <f>$Z20*(1+'FSS 805 Assumptions'!$B$43)</f>
        <v>52143.75</v>
      </c>
      <c r="AN20" s="59">
        <f t="shared" si="9"/>
        <v>625725</v>
      </c>
      <c r="AO20" s="129">
        <f>$AM20*(1+'FSS 805 Assumptions'!$C$43)</f>
        <v>53708.0625</v>
      </c>
      <c r="AP20" s="129">
        <f>$AM20*(1+'FSS 805 Assumptions'!$C$43)</f>
        <v>53708.0625</v>
      </c>
      <c r="AQ20" s="129">
        <f>$AM20*(1+'FSS 805 Assumptions'!$C$43)</f>
        <v>53708.0625</v>
      </c>
      <c r="AR20" s="129">
        <f>$AM20*(1+'FSS 805 Assumptions'!$C$43)</f>
        <v>53708.0625</v>
      </c>
      <c r="AS20" s="129">
        <f>$AM20*(1+'FSS 805 Assumptions'!$C$43)</f>
        <v>53708.0625</v>
      </c>
      <c r="AT20" s="129">
        <f>$AM20*(1+'FSS 805 Assumptions'!$C$43)</f>
        <v>53708.0625</v>
      </c>
      <c r="AU20" s="129">
        <f>$AM20*(1+'FSS 805 Assumptions'!$C$43)</f>
        <v>53708.0625</v>
      </c>
      <c r="AV20" s="129">
        <f>$AM20*(1+'FSS 805 Assumptions'!$C$43)</f>
        <v>53708.0625</v>
      </c>
      <c r="AW20" s="129">
        <f>$AM20*(1+'FSS 805 Assumptions'!$C$43)</f>
        <v>53708.0625</v>
      </c>
      <c r="AX20" s="129">
        <f>$AM20*(1+'FSS 805 Assumptions'!$C$43)</f>
        <v>53708.0625</v>
      </c>
      <c r="AY20" s="129">
        <f>$AM20*(1+'FSS 805 Assumptions'!$C$43)</f>
        <v>53708.0625</v>
      </c>
      <c r="AZ20" s="129">
        <f>$AM20*(1+'FSS 805 Assumptions'!$C$43)</f>
        <v>53708.0625</v>
      </c>
      <c r="BA20" s="59">
        <f t="shared" si="10"/>
        <v>644496.75</v>
      </c>
      <c r="BB20" s="59">
        <f>BA20*(1+'FSS 805 Assumptions'!D$43)</f>
        <v>663831.65249999997</v>
      </c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</row>
    <row r="21" spans="1:70" x14ac:dyDescent="0.2">
      <c r="A21" s="121" t="s">
        <v>396</v>
      </c>
      <c r="B21" s="129">
        <f>'FSS 805 Assumptions'!$D12*'FSS 805 Assumptions'!$E12*'FSS 805 Assumptions'!B$27*'FSS 805 Assumptions'!B$29</f>
        <v>0</v>
      </c>
      <c r="C21" s="129">
        <f>'FSS 805 Assumptions'!$D12*'FSS 805 Assumptions'!$E12*'FSS 805 Assumptions'!C$27*'FSS 805 Assumptions'!C$29</f>
        <v>0</v>
      </c>
      <c r="D21" s="129">
        <f>'FSS 805 Assumptions'!$D12*'FSS 805 Assumptions'!$E12*'FSS 805 Assumptions'!D$27*'FSS 805 Assumptions'!D$29</f>
        <v>0</v>
      </c>
      <c r="E21" s="129">
        <f>'FSS 805 Assumptions'!$D12*'FSS 805 Assumptions'!$E12*'FSS 805 Assumptions'!E$27*'FSS 805 Assumptions'!E$29</f>
        <v>0</v>
      </c>
      <c r="F21" s="129">
        <f>'FSS 805 Assumptions'!$D12*'FSS 805 Assumptions'!$E12*'FSS 805 Assumptions'!F$27*'FSS 805 Assumptions'!F$29</f>
        <v>0</v>
      </c>
      <c r="G21" s="129">
        <f>'FSS 805 Assumptions'!$D12*'FSS 805 Assumptions'!$E12*'FSS 805 Assumptions'!G$27*'FSS 805 Assumptions'!G$29</f>
        <v>0</v>
      </c>
      <c r="H21" s="129">
        <f>'FSS 805 Assumptions'!$D12*'FSS 805 Assumptions'!$E12*'FSS 805 Assumptions'!H$27*'FSS 805 Assumptions'!H$29</f>
        <v>0</v>
      </c>
      <c r="I21" s="129">
        <f>'FSS 805 Assumptions'!$D12*'FSS 805 Assumptions'!$E12*'FSS 805 Assumptions'!I$27*'FSS 805 Assumptions'!I$29</f>
        <v>0</v>
      </c>
      <c r="J21" s="129">
        <f>'FSS 805 Assumptions'!$D12*'FSS 805 Assumptions'!$E12*'FSS 805 Assumptions'!J$27*'FSS 805 Assumptions'!J$29</f>
        <v>0</v>
      </c>
      <c r="K21" s="129">
        <f>'FSS 805 Assumptions'!$D12*'FSS 805 Assumptions'!$E12*'FSS 805 Assumptions'!K$27*'FSS 805 Assumptions'!K$29</f>
        <v>0</v>
      </c>
      <c r="L21" s="129">
        <f>'FSS 805 Assumptions'!$D12*'FSS 805 Assumptions'!$E12*'FSS 805 Assumptions'!L$27*'FSS 805 Assumptions'!L$29</f>
        <v>0</v>
      </c>
      <c r="M21" s="129">
        <f>'FSS 805 Assumptions'!$D12*'FSS 805 Assumptions'!$E12*'FSS 805 Assumptions'!M$27*'FSS 805 Assumptions'!M$29</f>
        <v>0</v>
      </c>
      <c r="N21" s="158">
        <f t="shared" si="7"/>
        <v>0</v>
      </c>
      <c r="O21" s="129">
        <f>'FSS 805 Assumptions'!$D12*'FSS 805 Assumptions'!$E12*'FSS 805 Assumptions'!B$37*'FSS 805 Assumptions'!B$39</f>
        <v>0</v>
      </c>
      <c r="P21" s="129">
        <f>'FSS 805 Assumptions'!$D12*'FSS 805 Assumptions'!$E12*'FSS 805 Assumptions'!C$37*'FSS 805 Assumptions'!C$39</f>
        <v>0</v>
      </c>
      <c r="Q21" s="129">
        <f>'FSS 805 Assumptions'!$D12*'FSS 805 Assumptions'!$E12*'FSS 805 Assumptions'!D$37*'FSS 805 Assumptions'!D$39</f>
        <v>0</v>
      </c>
      <c r="R21" s="129">
        <f>'FSS 805 Assumptions'!$D12*'FSS 805 Assumptions'!$E12*'FSS 805 Assumptions'!E$37*'FSS 805 Assumptions'!E$39</f>
        <v>0</v>
      </c>
      <c r="S21" s="129">
        <f>'FSS 805 Assumptions'!$D12*'FSS 805 Assumptions'!$E12*'FSS 805 Assumptions'!F$37*'FSS 805 Assumptions'!F$39</f>
        <v>0</v>
      </c>
      <c r="T21" s="129">
        <f>'FSS 805 Assumptions'!$D12*'FSS 805 Assumptions'!$E12*'FSS 805 Assumptions'!G$37*'FSS 805 Assumptions'!G$39</f>
        <v>0</v>
      </c>
      <c r="U21" s="129">
        <f>'FSS 805 Assumptions'!$D12*'FSS 805 Assumptions'!$E12*'FSS 805 Assumptions'!H$37*'FSS 805 Assumptions'!H$39</f>
        <v>0</v>
      </c>
      <c r="V21" s="129">
        <f>'FSS 805 Assumptions'!$D12*'FSS 805 Assumptions'!$E12*'FSS 805 Assumptions'!I$37*'FSS 805 Assumptions'!I$39</f>
        <v>0</v>
      </c>
      <c r="W21" s="129">
        <f>'FSS 805 Assumptions'!$D12*'FSS 805 Assumptions'!$E12*'FSS 805 Assumptions'!J$37*'FSS 805 Assumptions'!J$39</f>
        <v>0</v>
      </c>
      <c r="X21" s="129">
        <f>'FSS 805 Assumptions'!$D12*'FSS 805 Assumptions'!$E12*'FSS 805 Assumptions'!K$37*'FSS 805 Assumptions'!K$39</f>
        <v>0</v>
      </c>
      <c r="Y21" s="129">
        <f>'FSS 805 Assumptions'!$D12*'FSS 805 Assumptions'!$E12*'FSS 805 Assumptions'!L$37*'FSS 805 Assumptions'!L$39</f>
        <v>0</v>
      </c>
      <c r="Z21" s="129">
        <f>'FSS 805 Assumptions'!$D12*'FSS 805 Assumptions'!$E12*'FSS 805 Assumptions'!M$37*'FSS 805 Assumptions'!M$39</f>
        <v>0</v>
      </c>
      <c r="AA21" s="59">
        <f t="shared" si="8"/>
        <v>0</v>
      </c>
      <c r="AB21" s="129">
        <f>$Z21*(1+'FSS 805 Assumptions'!$B$43)</f>
        <v>0</v>
      </c>
      <c r="AC21" s="129">
        <f>$Z21*(1+'FSS 805 Assumptions'!$B$43)</f>
        <v>0</v>
      </c>
      <c r="AD21" s="129">
        <f>$Z21*(1+'FSS 805 Assumptions'!$B$43)</f>
        <v>0</v>
      </c>
      <c r="AE21" s="129">
        <f>$Z21*(1+'FSS 805 Assumptions'!$B$43)</f>
        <v>0</v>
      </c>
      <c r="AF21" s="129">
        <f>$Z21*(1+'FSS 805 Assumptions'!$B$43)</f>
        <v>0</v>
      </c>
      <c r="AG21" s="129">
        <f>$Z21*(1+'FSS 805 Assumptions'!$B$43)</f>
        <v>0</v>
      </c>
      <c r="AH21" s="129">
        <f>$Z21*(1+'FSS 805 Assumptions'!$B$43)</f>
        <v>0</v>
      </c>
      <c r="AI21" s="129">
        <f>$Z21*(1+'FSS 805 Assumptions'!$B$43)</f>
        <v>0</v>
      </c>
      <c r="AJ21" s="129">
        <f>$Z21*(1+'FSS 805 Assumptions'!$B$43)</f>
        <v>0</v>
      </c>
      <c r="AK21" s="129">
        <f>$Z21*(1+'FSS 805 Assumptions'!$B$43)</f>
        <v>0</v>
      </c>
      <c r="AL21" s="129">
        <f>$Z21*(1+'FSS 805 Assumptions'!$B$43)</f>
        <v>0</v>
      </c>
      <c r="AM21" s="129">
        <f>$Z21*(1+'FSS 805 Assumptions'!$B$43)</f>
        <v>0</v>
      </c>
      <c r="AN21" s="59">
        <f t="shared" si="9"/>
        <v>0</v>
      </c>
      <c r="AO21" s="129">
        <f>$AM21*(1+'FSS 805 Assumptions'!$C$43)</f>
        <v>0</v>
      </c>
      <c r="AP21" s="129">
        <f>$AM21*(1+'FSS 805 Assumptions'!$C$43)</f>
        <v>0</v>
      </c>
      <c r="AQ21" s="129">
        <f>$AM21*(1+'FSS 805 Assumptions'!$C$43)</f>
        <v>0</v>
      </c>
      <c r="AR21" s="129">
        <f>$AM21*(1+'FSS 805 Assumptions'!$C$43)</f>
        <v>0</v>
      </c>
      <c r="AS21" s="129">
        <f>$AM21*(1+'FSS 805 Assumptions'!$C$43)</f>
        <v>0</v>
      </c>
      <c r="AT21" s="129">
        <f>$AM21*(1+'FSS 805 Assumptions'!$C$43)</f>
        <v>0</v>
      </c>
      <c r="AU21" s="129">
        <f>$AM21*(1+'FSS 805 Assumptions'!$C$43)</f>
        <v>0</v>
      </c>
      <c r="AV21" s="129">
        <f>$AM21*(1+'FSS 805 Assumptions'!$C$43)</f>
        <v>0</v>
      </c>
      <c r="AW21" s="129">
        <f>$AM21*(1+'FSS 805 Assumptions'!$C$43)</f>
        <v>0</v>
      </c>
      <c r="AX21" s="129">
        <f>$AM21*(1+'FSS 805 Assumptions'!$C$43)</f>
        <v>0</v>
      </c>
      <c r="AY21" s="129">
        <f>$AM21*(1+'FSS 805 Assumptions'!$C$43)</f>
        <v>0</v>
      </c>
      <c r="AZ21" s="129">
        <f>$AM21*(1+'FSS 805 Assumptions'!$C$43)</f>
        <v>0</v>
      </c>
      <c r="BA21" s="59">
        <f t="shared" si="10"/>
        <v>0</v>
      </c>
      <c r="BB21" s="59">
        <f>BA21*(1+'FSS 805 Assumptions'!D$43)</f>
        <v>0</v>
      </c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</row>
    <row r="22" spans="1:70" x14ac:dyDescent="0.2">
      <c r="A22" s="52" t="s">
        <v>397</v>
      </c>
      <c r="B22" s="129">
        <f>'FSS 805 Assumptions'!$D13*'FSS 805 Assumptions'!$E13*'FSS 805 Assumptions'!B$28*'FSS 805 Assumptions'!B$29</f>
        <v>5400</v>
      </c>
      <c r="C22" s="129">
        <f>'FSS 805 Assumptions'!$D13*'FSS 805 Assumptions'!$E13*'FSS 805 Assumptions'!C$28*'FSS 805 Assumptions'!C$29</f>
        <v>5400</v>
      </c>
      <c r="D22" s="129">
        <f>'FSS 805 Assumptions'!$D13*'FSS 805 Assumptions'!$E13*'FSS 805 Assumptions'!D$28*'FSS 805 Assumptions'!D$29</f>
        <v>5400</v>
      </c>
      <c r="E22" s="129">
        <f>'FSS 805 Assumptions'!$D13*'FSS 805 Assumptions'!$E13*'FSS 805 Assumptions'!E$28*'FSS 805 Assumptions'!E$29</f>
        <v>5400</v>
      </c>
      <c r="F22" s="129">
        <f>'FSS 805 Assumptions'!$D13*'FSS 805 Assumptions'!$E13*'FSS 805 Assumptions'!F$28*'FSS 805 Assumptions'!F$29</f>
        <v>8100</v>
      </c>
      <c r="G22" s="129">
        <f>'FSS 805 Assumptions'!$D13*'FSS 805 Assumptions'!$E13*'FSS 805 Assumptions'!G$28*'FSS 805 Assumptions'!G$29</f>
        <v>16200</v>
      </c>
      <c r="H22" s="129">
        <f>'FSS 805 Assumptions'!$D13*'FSS 805 Assumptions'!$E13*'FSS 805 Assumptions'!H$28*'FSS 805 Assumptions'!H$29</f>
        <v>18900</v>
      </c>
      <c r="I22" s="129">
        <f>'FSS 805 Assumptions'!$D13*'FSS 805 Assumptions'!$E13*'FSS 805 Assumptions'!I$28*'FSS 805 Assumptions'!I$29</f>
        <v>17010</v>
      </c>
      <c r="J22" s="129">
        <f>'FSS 805 Assumptions'!$D13*'FSS 805 Assumptions'!$E13*'FSS 805 Assumptions'!J$28*'FSS 805 Assumptions'!J$29</f>
        <v>41310</v>
      </c>
      <c r="K22" s="129">
        <f>'FSS 805 Assumptions'!$D13*'FSS 805 Assumptions'!$E13*'FSS 805 Assumptions'!K$28*'FSS 805 Assumptions'!K$29</f>
        <v>47385</v>
      </c>
      <c r="L22" s="129">
        <f>'FSS 805 Assumptions'!$D13*'FSS 805 Assumptions'!$E13*'FSS 805 Assumptions'!L$28*'FSS 805 Assumptions'!L$29</f>
        <v>47385</v>
      </c>
      <c r="M22" s="129">
        <f>'FSS 805 Assumptions'!$D13*'FSS 805 Assumptions'!$E13*'FSS 805 Assumptions'!M$28*'FSS 805 Assumptions'!M$29</f>
        <v>47385</v>
      </c>
      <c r="N22" s="158">
        <f t="shared" si="7"/>
        <v>265275</v>
      </c>
      <c r="O22" s="129">
        <f>'FSS 805 Assumptions'!$D13*'FSS 805 Assumptions'!$E13*'FSS 805 Assumptions'!B$38*'FSS 805 Assumptions'!B$39</f>
        <v>47385</v>
      </c>
      <c r="P22" s="129">
        <f>'FSS 805 Assumptions'!$D13*'FSS 805 Assumptions'!$E13*'FSS 805 Assumptions'!C$38*'FSS 805 Assumptions'!C$39</f>
        <v>60750</v>
      </c>
      <c r="Q22" s="129">
        <f>'FSS 805 Assumptions'!$D13*'FSS 805 Assumptions'!$E13*'FSS 805 Assumptions'!D$38*'FSS 805 Assumptions'!D$39</f>
        <v>66825</v>
      </c>
      <c r="R22" s="129">
        <f>'FSS 805 Assumptions'!$D13*'FSS 805 Assumptions'!$E13*'FSS 805 Assumptions'!E$38*'FSS 805 Assumptions'!E$39</f>
        <v>72900</v>
      </c>
      <c r="S22" s="129">
        <f>'FSS 805 Assumptions'!$D13*'FSS 805 Assumptions'!$E13*'FSS 805 Assumptions'!F$38*'FSS 805 Assumptions'!F$39</f>
        <v>78975</v>
      </c>
      <c r="T22" s="129">
        <f>'FSS 805 Assumptions'!$D13*'FSS 805 Assumptions'!$E13*'FSS 805 Assumptions'!G$38*'FSS 805 Assumptions'!G$39</f>
        <v>85050</v>
      </c>
      <c r="U22" s="129">
        <f>'FSS 805 Assumptions'!$D13*'FSS 805 Assumptions'!$E13*'FSS 805 Assumptions'!H$38*'FSS 805 Assumptions'!H$39</f>
        <v>91125</v>
      </c>
      <c r="V22" s="129">
        <f>'FSS 805 Assumptions'!$D13*'FSS 805 Assumptions'!$E13*'FSS 805 Assumptions'!I$38*'FSS 805 Assumptions'!I$39</f>
        <v>97200</v>
      </c>
      <c r="W22" s="129">
        <f>'FSS 805 Assumptions'!$D13*'FSS 805 Assumptions'!$E13*'FSS 805 Assumptions'!J$38*'FSS 805 Assumptions'!J$39</f>
        <v>103275</v>
      </c>
      <c r="X22" s="129">
        <f>'FSS 805 Assumptions'!$D13*'FSS 805 Assumptions'!$E13*'FSS 805 Assumptions'!K$38*'FSS 805 Assumptions'!K$39</f>
        <v>109350</v>
      </c>
      <c r="Y22" s="129">
        <f>'FSS 805 Assumptions'!$D13*'FSS 805 Assumptions'!$E13*'FSS 805 Assumptions'!L$38*'FSS 805 Assumptions'!L$39</f>
        <v>109350</v>
      </c>
      <c r="Z22" s="129">
        <f>'FSS 805 Assumptions'!$D13*'FSS 805 Assumptions'!$E13*'FSS 805 Assumptions'!M$38*'FSS 805 Assumptions'!M$39</f>
        <v>109350</v>
      </c>
      <c r="AA22" s="59">
        <f t="shared" si="8"/>
        <v>1031535</v>
      </c>
      <c r="AB22" s="129">
        <f>$Z22*(1+'FSS 805 Assumptions'!$B$43)</f>
        <v>112630.5</v>
      </c>
      <c r="AC22" s="129">
        <f>$Z22*(1+'FSS 805 Assumptions'!$B$43)</f>
        <v>112630.5</v>
      </c>
      <c r="AD22" s="129">
        <f>$Z22*(1+'FSS 805 Assumptions'!$B$43)</f>
        <v>112630.5</v>
      </c>
      <c r="AE22" s="129">
        <f>$Z22*(1+'FSS 805 Assumptions'!$B$43)</f>
        <v>112630.5</v>
      </c>
      <c r="AF22" s="129">
        <f>$Z22*(1+'FSS 805 Assumptions'!$B$43)</f>
        <v>112630.5</v>
      </c>
      <c r="AG22" s="129">
        <f>$Z22*(1+'FSS 805 Assumptions'!$B$43)</f>
        <v>112630.5</v>
      </c>
      <c r="AH22" s="129">
        <f>$Z22*(1+'FSS 805 Assumptions'!$B$43)</f>
        <v>112630.5</v>
      </c>
      <c r="AI22" s="129">
        <f>$Z22*(1+'FSS 805 Assumptions'!$B$43)</f>
        <v>112630.5</v>
      </c>
      <c r="AJ22" s="129">
        <f>$Z22*(1+'FSS 805 Assumptions'!$B$43)</f>
        <v>112630.5</v>
      </c>
      <c r="AK22" s="129">
        <f>$Z22*(1+'FSS 805 Assumptions'!$B$43)</f>
        <v>112630.5</v>
      </c>
      <c r="AL22" s="129">
        <f>$Z22*(1+'FSS 805 Assumptions'!$B$43)</f>
        <v>112630.5</v>
      </c>
      <c r="AM22" s="129">
        <f>$Z22*(1+'FSS 805 Assumptions'!$B$43)</f>
        <v>112630.5</v>
      </c>
      <c r="AN22" s="59">
        <f t="shared" si="9"/>
        <v>1351566</v>
      </c>
      <c r="AO22" s="129">
        <f>$AM22*(1+'FSS 805 Assumptions'!$C$43)</f>
        <v>116009.41500000001</v>
      </c>
      <c r="AP22" s="129">
        <f>$AM22*(1+'FSS 805 Assumptions'!$C$43)</f>
        <v>116009.41500000001</v>
      </c>
      <c r="AQ22" s="129">
        <f>$AM22*(1+'FSS 805 Assumptions'!$C$43)</f>
        <v>116009.41500000001</v>
      </c>
      <c r="AR22" s="129">
        <f>$AM22*(1+'FSS 805 Assumptions'!$C$43)</f>
        <v>116009.41500000001</v>
      </c>
      <c r="AS22" s="129">
        <f>$AM22*(1+'FSS 805 Assumptions'!$C$43)</f>
        <v>116009.41500000001</v>
      </c>
      <c r="AT22" s="129">
        <f>$AM22*(1+'FSS 805 Assumptions'!$C$43)</f>
        <v>116009.41500000001</v>
      </c>
      <c r="AU22" s="129">
        <f>$AM22*(1+'FSS 805 Assumptions'!$C$43)</f>
        <v>116009.41500000001</v>
      </c>
      <c r="AV22" s="129">
        <f>$AM22*(1+'FSS 805 Assumptions'!$C$43)</f>
        <v>116009.41500000001</v>
      </c>
      <c r="AW22" s="129">
        <f>$AM22*(1+'FSS 805 Assumptions'!$C$43)</f>
        <v>116009.41500000001</v>
      </c>
      <c r="AX22" s="129">
        <f>$AM22*(1+'FSS 805 Assumptions'!$C$43)</f>
        <v>116009.41500000001</v>
      </c>
      <c r="AY22" s="129">
        <f>$AM22*(1+'FSS 805 Assumptions'!$C$43)</f>
        <v>116009.41500000001</v>
      </c>
      <c r="AZ22" s="129">
        <f>$AM22*(1+'FSS 805 Assumptions'!$C$43)</f>
        <v>116009.41500000001</v>
      </c>
      <c r="BA22" s="59">
        <f t="shared" si="10"/>
        <v>1392112.9800000002</v>
      </c>
      <c r="BB22" s="59">
        <f>BA22*(1+'FSS 805 Assumptions'!D$43)</f>
        <v>1433876.3694000002</v>
      </c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</row>
    <row r="23" spans="1:70" ht="4.1500000000000004" customHeight="1" x14ac:dyDescent="0.2">
      <c r="A23" s="62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57">
        <f t="shared" si="7"/>
        <v>0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</row>
    <row r="24" spans="1:70" s="71" customFormat="1" collapsed="1" x14ac:dyDescent="0.2">
      <c r="A24" s="69" t="s">
        <v>448</v>
      </c>
      <c r="B24" s="70">
        <f t="shared" ref="B24:AG24" si="11">SUM(B18:B23)</f>
        <v>5400</v>
      </c>
      <c r="C24" s="70">
        <f t="shared" si="11"/>
        <v>5400</v>
      </c>
      <c r="D24" s="70">
        <f t="shared" si="11"/>
        <v>5400</v>
      </c>
      <c r="E24" s="70">
        <f t="shared" si="11"/>
        <v>15989.5</v>
      </c>
      <c r="F24" s="70">
        <f t="shared" si="11"/>
        <v>29039.5</v>
      </c>
      <c r="G24" s="70">
        <f t="shared" si="11"/>
        <v>44579</v>
      </c>
      <c r="H24" s="70">
        <f t="shared" si="11"/>
        <v>60597.5</v>
      </c>
      <c r="I24" s="70">
        <f t="shared" si="11"/>
        <v>177637.5</v>
      </c>
      <c r="J24" s="70">
        <f t="shared" si="11"/>
        <v>298581.75</v>
      </c>
      <c r="K24" s="70">
        <f t="shared" si="11"/>
        <v>308706.75</v>
      </c>
      <c r="L24" s="70">
        <f t="shared" si="11"/>
        <v>308706.75</v>
      </c>
      <c r="M24" s="70">
        <f t="shared" si="11"/>
        <v>321934.5</v>
      </c>
      <c r="N24" s="70">
        <f t="shared" si="11"/>
        <v>1581972.75</v>
      </c>
      <c r="O24" s="70">
        <f t="shared" si="11"/>
        <v>321934.5</v>
      </c>
      <c r="P24" s="70">
        <f t="shared" si="11"/>
        <v>335299.5</v>
      </c>
      <c r="Q24" s="70">
        <f t="shared" si="11"/>
        <v>341374.5</v>
      </c>
      <c r="R24" s="70">
        <f t="shared" si="11"/>
        <v>347449.5</v>
      </c>
      <c r="S24" s="70">
        <f t="shared" si="11"/>
        <v>353524.5</v>
      </c>
      <c r="T24" s="70">
        <f t="shared" si="11"/>
        <v>359599.5</v>
      </c>
      <c r="U24" s="70">
        <f t="shared" si="11"/>
        <v>365674.5</v>
      </c>
      <c r="V24" s="70">
        <f t="shared" si="11"/>
        <v>371749.5</v>
      </c>
      <c r="W24" s="70">
        <f t="shared" si="11"/>
        <v>377824.5</v>
      </c>
      <c r="X24" s="70">
        <f t="shared" si="11"/>
        <v>383899.5</v>
      </c>
      <c r="Y24" s="70">
        <f t="shared" si="11"/>
        <v>383899.5</v>
      </c>
      <c r="Z24" s="70">
        <f t="shared" si="11"/>
        <v>383899.5</v>
      </c>
      <c r="AA24" s="70">
        <f t="shared" si="11"/>
        <v>4326129</v>
      </c>
      <c r="AB24" s="70">
        <f t="shared" si="11"/>
        <v>395416.48499999999</v>
      </c>
      <c r="AC24" s="70">
        <f t="shared" si="11"/>
        <v>395416.48499999999</v>
      </c>
      <c r="AD24" s="70">
        <f t="shared" si="11"/>
        <v>395416.48499999999</v>
      </c>
      <c r="AE24" s="70">
        <f t="shared" si="11"/>
        <v>395416.48499999999</v>
      </c>
      <c r="AF24" s="70">
        <f t="shared" si="11"/>
        <v>395416.48499999999</v>
      </c>
      <c r="AG24" s="70">
        <f t="shared" si="11"/>
        <v>395416.48499999999</v>
      </c>
      <c r="AH24" s="70">
        <f t="shared" ref="AH24:BB24" si="12">SUM(AH18:AH23)</f>
        <v>395416.48499999999</v>
      </c>
      <c r="AI24" s="70">
        <f t="shared" si="12"/>
        <v>395416.48499999999</v>
      </c>
      <c r="AJ24" s="70">
        <f t="shared" si="12"/>
        <v>395416.48499999999</v>
      </c>
      <c r="AK24" s="70">
        <f t="shared" si="12"/>
        <v>395416.48499999999</v>
      </c>
      <c r="AL24" s="70">
        <f t="shared" si="12"/>
        <v>395416.48499999999</v>
      </c>
      <c r="AM24" s="70">
        <f t="shared" si="12"/>
        <v>395416.48499999999</v>
      </c>
      <c r="AN24" s="70">
        <f t="shared" si="12"/>
        <v>4744997.82</v>
      </c>
      <c r="AO24" s="70">
        <f t="shared" si="12"/>
        <v>407278.97955000005</v>
      </c>
      <c r="AP24" s="70">
        <f t="shared" si="12"/>
        <v>407278.97955000005</v>
      </c>
      <c r="AQ24" s="70">
        <f t="shared" si="12"/>
        <v>407278.97955000005</v>
      </c>
      <c r="AR24" s="70">
        <f t="shared" si="12"/>
        <v>407278.97955000005</v>
      </c>
      <c r="AS24" s="70">
        <f t="shared" si="12"/>
        <v>407278.97955000005</v>
      </c>
      <c r="AT24" s="70">
        <f t="shared" si="12"/>
        <v>407278.97955000005</v>
      </c>
      <c r="AU24" s="70">
        <f t="shared" si="12"/>
        <v>407278.97955000005</v>
      </c>
      <c r="AV24" s="70">
        <f t="shared" si="12"/>
        <v>407278.97955000005</v>
      </c>
      <c r="AW24" s="70">
        <f t="shared" si="12"/>
        <v>407278.97955000005</v>
      </c>
      <c r="AX24" s="70">
        <f t="shared" si="12"/>
        <v>407278.97955000005</v>
      </c>
      <c r="AY24" s="70">
        <f t="shared" si="12"/>
        <v>407278.97955000005</v>
      </c>
      <c r="AZ24" s="70">
        <f t="shared" si="12"/>
        <v>407278.97955000005</v>
      </c>
      <c r="BA24" s="70">
        <f t="shared" si="12"/>
        <v>4887347.7546000006</v>
      </c>
      <c r="BB24" s="70">
        <f t="shared" si="12"/>
        <v>5033968.1872380003</v>
      </c>
    </row>
    <row r="25" spans="1:70" s="71" customFormat="1" x14ac:dyDescent="0.2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</row>
    <row r="26" spans="1:70" s="71" customFormat="1" x14ac:dyDescent="0.2">
      <c r="A26" s="61" t="s">
        <v>446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</row>
    <row r="27" spans="1:70" x14ac:dyDescent="0.2">
      <c r="A27" s="107" t="s">
        <v>447</v>
      </c>
      <c r="B27" s="129">
        <f>(SUM('FSS 805 Assumptions'!$D$9:$D$11)+('FSS 805 Assumptions'!$C$13*'FSS 805 Assumptions'!$B$19))*('FSS 805 Assumptions'!$B$16+'FSS 805 Assumptions'!$B$17)*'FSS 805 Assumptions'!$B$18/12*'FSS 805 Assumptions'!B24*'FSS 805 Assumptions'!B29</f>
        <v>0</v>
      </c>
      <c r="C27" s="129">
        <f>(SUM('FSS 805 Assumptions'!$D$9:$D$11)+('FSS 805 Assumptions'!$C$13*'FSS 805 Assumptions'!$B$19))*('FSS 805 Assumptions'!$B$16+'FSS 805 Assumptions'!$B$17)*'FSS 805 Assumptions'!$B$18/12*'FSS 805 Assumptions'!C24*'FSS 805 Assumptions'!C29</f>
        <v>0</v>
      </c>
      <c r="D27" s="129">
        <f>(SUM('FSS 805 Assumptions'!$D$9:$D$11)+('FSS 805 Assumptions'!$C$13*'FSS 805 Assumptions'!$B$19))*('FSS 805 Assumptions'!$B$16+'FSS 805 Assumptions'!$B$17)*'FSS 805 Assumptions'!$B$18/12*'FSS 805 Assumptions'!D24*'FSS 805 Assumptions'!D29</f>
        <v>0</v>
      </c>
      <c r="E27" s="129">
        <f>'FSS 805 Assumptions'!E30*('FSS 805 Assumptions'!$B$16+'FSS 805 Assumptions'!$B$17)*'FSS 805 Assumptions'!$B$18/12</f>
        <v>6805.8666666666677</v>
      </c>
      <c r="F27" s="129">
        <f>'FSS 805 Assumptions'!F30*('FSS 805 Assumptions'!$B$16+'FSS 805 Assumptions'!$B$17)*'FSS 805 Assumptions'!$B$18/12</f>
        <v>15089.199999999997</v>
      </c>
      <c r="G27" s="129">
        <f>'FSS 805 Assumptions'!G30*('FSS 805 Assumptions'!$B$16+'FSS 805 Assumptions'!$B$17)*'FSS 805 Assumptions'!$B$18/12</f>
        <v>19678.400000000001</v>
      </c>
      <c r="H27" s="129">
        <f>'FSS 805 Assumptions'!H30*('FSS 805 Assumptions'!$B$16+'FSS 805 Assumptions'!$B$17)*'FSS 805 Assumptions'!$B$18/12</f>
        <v>24579.333333333332</v>
      </c>
      <c r="I27" s="129">
        <f>'FSS 805 Assumptions'!I30*('FSS 805 Assumptions'!$B$16+'FSS 805 Assumptions'!$B$17)*'FSS 805 Assumptions'!$B$18/12</f>
        <v>41034</v>
      </c>
      <c r="J27" s="129">
        <f>'FSS 805 Assumptions'!J30*('FSS 805 Assumptions'!$B$16+'FSS 805 Assumptions'!$B$17)*'FSS 805 Assumptions'!$B$18/12</f>
        <v>58543.80000000001</v>
      </c>
      <c r="K27" s="129">
        <f>'FSS 805 Assumptions'!K30*('FSS 805 Assumptions'!$B$16+'FSS 805 Assumptions'!$B$17)*'FSS 805 Assumptions'!$B$18/12</f>
        <v>62218.80000000001</v>
      </c>
      <c r="L27" s="129">
        <f>'FSS 805 Assumptions'!L30*('FSS 805 Assumptions'!$B$16+'FSS 805 Assumptions'!$B$17)*'FSS 805 Assumptions'!$B$18/12</f>
        <v>62218.80000000001</v>
      </c>
      <c r="M27" s="129">
        <f>'FSS 805 Assumptions'!M30*('FSS 805 Assumptions'!$B$16+'FSS 805 Assumptions'!$B$17)*'FSS 805 Assumptions'!$B$18/12</f>
        <v>63970.200000000004</v>
      </c>
      <c r="N27" s="158">
        <f t="shared" ref="N27" si="13">SUM(B27:M27)</f>
        <v>354138.4</v>
      </c>
      <c r="O27" s="129">
        <f>'FSS 805 Assumptions'!B40*('FSS 805 Assumptions'!$B$16+'FSS 805 Assumptions'!$B$17)*'FSS 805 Assumptions'!$B$18/12</f>
        <v>63970.200000000004</v>
      </c>
      <c r="P27" s="129">
        <f>'FSS 805 Assumptions'!C40*('FSS 805 Assumptions'!$B$16+'FSS 805 Assumptions'!$B$17)*'FSS 805 Assumptions'!$B$18/12</f>
        <v>65125.200000000004</v>
      </c>
      <c r="Q27" s="129">
        <f>'FSS 805 Assumptions'!D40*('FSS 805 Assumptions'!$B$16+'FSS 805 Assumptions'!$B$17)*'FSS 805 Assumptions'!$B$18/12</f>
        <v>65650.2</v>
      </c>
      <c r="R27" s="129">
        <f>'FSS 805 Assumptions'!E40*('FSS 805 Assumptions'!$B$16+'FSS 805 Assumptions'!$B$17)*'FSS 805 Assumptions'!$B$18/12</f>
        <v>66175.199999999997</v>
      </c>
      <c r="S27" s="129">
        <f>'FSS 805 Assumptions'!F40*('FSS 805 Assumptions'!$B$16+'FSS 805 Assumptions'!$B$17)*'FSS 805 Assumptions'!$B$18/12</f>
        <v>66700.2</v>
      </c>
      <c r="T27" s="129">
        <f>'FSS 805 Assumptions'!G40*('FSS 805 Assumptions'!$B$16+'FSS 805 Assumptions'!$B$17)*'FSS 805 Assumptions'!$B$18/12</f>
        <v>67225.2</v>
      </c>
      <c r="U27" s="129">
        <f>'FSS 805 Assumptions'!H40*('FSS 805 Assumptions'!$B$16+'FSS 805 Assumptions'!$B$17)*'FSS 805 Assumptions'!$B$18/12</f>
        <v>67750.2</v>
      </c>
      <c r="V27" s="129">
        <f>'FSS 805 Assumptions'!I40*('FSS 805 Assumptions'!$B$16+'FSS 805 Assumptions'!$B$17)*'FSS 805 Assumptions'!$B$18/12</f>
        <v>68275.199999999997</v>
      </c>
      <c r="W27" s="129">
        <f>'FSS 805 Assumptions'!J40*('FSS 805 Assumptions'!$B$16+'FSS 805 Assumptions'!$B$17)*'FSS 805 Assumptions'!$B$18/12</f>
        <v>68800.2</v>
      </c>
      <c r="X27" s="129">
        <f>'FSS 805 Assumptions'!K40*('FSS 805 Assumptions'!$B$16+'FSS 805 Assumptions'!$B$17)*'FSS 805 Assumptions'!$B$18/12</f>
        <v>69325.2</v>
      </c>
      <c r="Y27" s="129">
        <f>'FSS 805 Assumptions'!L40*('FSS 805 Assumptions'!$B$16+'FSS 805 Assumptions'!$B$17)*'FSS 805 Assumptions'!$B$18/12</f>
        <v>69325.2</v>
      </c>
      <c r="Z27" s="129">
        <f>'FSS 805 Assumptions'!M40*('FSS 805 Assumptions'!$B$16+'FSS 805 Assumptions'!$B$17)*'FSS 805 Assumptions'!$B$18/12</f>
        <v>69325.2</v>
      </c>
      <c r="AA27" s="59">
        <f t="shared" ref="AA27" si="14">SUM(O27:Z27)</f>
        <v>807647.39999999979</v>
      </c>
      <c r="AB27" s="129">
        <f>$Z27*(1+'FSS 805 Assumptions'!$B$43)</f>
        <v>71404.956000000006</v>
      </c>
      <c r="AC27" s="129">
        <f>$Z27*(1+'FSS 805 Assumptions'!$B$43)</f>
        <v>71404.956000000006</v>
      </c>
      <c r="AD27" s="129">
        <f>$Z27*(1+'FSS 805 Assumptions'!$B$43)</f>
        <v>71404.956000000006</v>
      </c>
      <c r="AE27" s="129">
        <f>$Z27*(1+'FSS 805 Assumptions'!$B$43)</f>
        <v>71404.956000000006</v>
      </c>
      <c r="AF27" s="129">
        <f>$Z27*(1+'FSS 805 Assumptions'!$B$43)</f>
        <v>71404.956000000006</v>
      </c>
      <c r="AG27" s="129">
        <f>$Z27*(1+'FSS 805 Assumptions'!$B$43)</f>
        <v>71404.956000000006</v>
      </c>
      <c r="AH27" s="129">
        <f>$Z27*(1+'FSS 805 Assumptions'!$B$43)</f>
        <v>71404.956000000006</v>
      </c>
      <c r="AI27" s="129">
        <f>$Z27*(1+'FSS 805 Assumptions'!$B$43)</f>
        <v>71404.956000000006</v>
      </c>
      <c r="AJ27" s="129">
        <f>$Z27*(1+'FSS 805 Assumptions'!$B$43)</f>
        <v>71404.956000000006</v>
      </c>
      <c r="AK27" s="129">
        <f>$Z27*(1+'FSS 805 Assumptions'!$B$43)</f>
        <v>71404.956000000006</v>
      </c>
      <c r="AL27" s="129">
        <f>$Z27*(1+'FSS 805 Assumptions'!$B$43)</f>
        <v>71404.956000000006</v>
      </c>
      <c r="AM27" s="129">
        <f>$Z27*(1+'FSS 805 Assumptions'!$B$43)</f>
        <v>71404.956000000006</v>
      </c>
      <c r="AN27" s="59">
        <f t="shared" ref="AN27" si="15">SUM(AB27:AM27)</f>
        <v>856859.47200000007</v>
      </c>
      <c r="AO27" s="129">
        <f>$AM27*(1+'FSS 805 Assumptions'!$C$43)</f>
        <v>73547.104680000004</v>
      </c>
      <c r="AP27" s="129">
        <f>$AM27*(1+'FSS 805 Assumptions'!$C$43)</f>
        <v>73547.104680000004</v>
      </c>
      <c r="AQ27" s="129">
        <f>$AM27*(1+'FSS 805 Assumptions'!$C$43)</f>
        <v>73547.104680000004</v>
      </c>
      <c r="AR27" s="129">
        <f>$AM27*(1+'FSS 805 Assumptions'!$C$43)</f>
        <v>73547.104680000004</v>
      </c>
      <c r="AS27" s="129">
        <f>$AM27*(1+'FSS 805 Assumptions'!$C$43)</f>
        <v>73547.104680000004</v>
      </c>
      <c r="AT27" s="129">
        <f>$AM27*(1+'FSS 805 Assumptions'!$C$43)</f>
        <v>73547.104680000004</v>
      </c>
      <c r="AU27" s="129">
        <f>$AM27*(1+'FSS 805 Assumptions'!$C$43)</f>
        <v>73547.104680000004</v>
      </c>
      <c r="AV27" s="129">
        <f>$AM27*(1+'FSS 805 Assumptions'!$C$43)</f>
        <v>73547.104680000004</v>
      </c>
      <c r="AW27" s="129">
        <f>$AM27*(1+'FSS 805 Assumptions'!$C$43)</f>
        <v>73547.104680000004</v>
      </c>
      <c r="AX27" s="129">
        <f>$AM27*(1+'FSS 805 Assumptions'!$C$43)</f>
        <v>73547.104680000004</v>
      </c>
      <c r="AY27" s="129">
        <f>$AM27*(1+'FSS 805 Assumptions'!$C$43)</f>
        <v>73547.104680000004</v>
      </c>
      <c r="AZ27" s="129">
        <f>$AM27*(1+'FSS 805 Assumptions'!$C$43)</f>
        <v>73547.104680000004</v>
      </c>
      <c r="BA27" s="59">
        <f>SUM(AO27:AZ27)</f>
        <v>882565.25615999999</v>
      </c>
      <c r="BB27" s="59">
        <f>BA27*(1+'FSS 805 Assumptions'!D$43)</f>
        <v>909042.21384480002</v>
      </c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</row>
    <row r="28" spans="1:70" s="71" customFormat="1" ht="4.5" customHeight="1" x14ac:dyDescent="0.2">
      <c r="A28" s="69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</row>
    <row r="29" spans="1:70" s="71" customFormat="1" x14ac:dyDescent="0.2">
      <c r="A29" s="69" t="s">
        <v>449</v>
      </c>
      <c r="B29" s="70">
        <f>SUM(B26:B28)</f>
        <v>0</v>
      </c>
      <c r="C29" s="70">
        <f t="shared" ref="C29:BB29" si="16">SUM(C27:C28)</f>
        <v>0</v>
      </c>
      <c r="D29" s="70">
        <f t="shared" si="16"/>
        <v>0</v>
      </c>
      <c r="E29" s="70">
        <f t="shared" si="16"/>
        <v>6805.8666666666677</v>
      </c>
      <c r="F29" s="70">
        <f t="shared" si="16"/>
        <v>15089.199999999997</v>
      </c>
      <c r="G29" s="70">
        <f t="shared" si="16"/>
        <v>19678.400000000001</v>
      </c>
      <c r="H29" s="70">
        <f t="shared" si="16"/>
        <v>24579.333333333332</v>
      </c>
      <c r="I29" s="70">
        <f t="shared" si="16"/>
        <v>41034</v>
      </c>
      <c r="J29" s="70">
        <f t="shared" si="16"/>
        <v>58543.80000000001</v>
      </c>
      <c r="K29" s="70">
        <f t="shared" si="16"/>
        <v>62218.80000000001</v>
      </c>
      <c r="L29" s="70">
        <f t="shared" si="16"/>
        <v>62218.80000000001</v>
      </c>
      <c r="M29" s="70">
        <f t="shared" si="16"/>
        <v>63970.200000000004</v>
      </c>
      <c r="N29" s="70">
        <f t="shared" si="16"/>
        <v>354138.4</v>
      </c>
      <c r="O29" s="70">
        <f t="shared" si="16"/>
        <v>63970.200000000004</v>
      </c>
      <c r="P29" s="70">
        <f t="shared" si="16"/>
        <v>65125.200000000004</v>
      </c>
      <c r="Q29" s="70">
        <f t="shared" si="16"/>
        <v>65650.2</v>
      </c>
      <c r="R29" s="70">
        <f t="shared" si="16"/>
        <v>66175.199999999997</v>
      </c>
      <c r="S29" s="70">
        <f t="shared" si="16"/>
        <v>66700.2</v>
      </c>
      <c r="T29" s="70">
        <f t="shared" si="16"/>
        <v>67225.2</v>
      </c>
      <c r="U29" s="70">
        <f t="shared" si="16"/>
        <v>67750.2</v>
      </c>
      <c r="V29" s="70">
        <f t="shared" si="16"/>
        <v>68275.199999999997</v>
      </c>
      <c r="W29" s="70">
        <f t="shared" si="16"/>
        <v>68800.2</v>
      </c>
      <c r="X29" s="70">
        <f t="shared" si="16"/>
        <v>69325.2</v>
      </c>
      <c r="Y29" s="70">
        <f t="shared" si="16"/>
        <v>69325.2</v>
      </c>
      <c r="Z29" s="70">
        <f t="shared" si="16"/>
        <v>69325.2</v>
      </c>
      <c r="AA29" s="70">
        <f t="shared" si="16"/>
        <v>807647.39999999979</v>
      </c>
      <c r="AB29" s="70">
        <f t="shared" si="16"/>
        <v>71404.956000000006</v>
      </c>
      <c r="AC29" s="70">
        <f t="shared" si="16"/>
        <v>71404.956000000006</v>
      </c>
      <c r="AD29" s="70">
        <f t="shared" si="16"/>
        <v>71404.956000000006</v>
      </c>
      <c r="AE29" s="70">
        <f t="shared" si="16"/>
        <v>71404.956000000006</v>
      </c>
      <c r="AF29" s="70">
        <f t="shared" si="16"/>
        <v>71404.956000000006</v>
      </c>
      <c r="AG29" s="70">
        <f t="shared" si="16"/>
        <v>71404.956000000006</v>
      </c>
      <c r="AH29" s="70">
        <f t="shared" si="16"/>
        <v>71404.956000000006</v>
      </c>
      <c r="AI29" s="70">
        <f t="shared" si="16"/>
        <v>71404.956000000006</v>
      </c>
      <c r="AJ29" s="70">
        <f t="shared" si="16"/>
        <v>71404.956000000006</v>
      </c>
      <c r="AK29" s="70">
        <f t="shared" si="16"/>
        <v>71404.956000000006</v>
      </c>
      <c r="AL29" s="70">
        <f t="shared" si="16"/>
        <v>71404.956000000006</v>
      </c>
      <c r="AM29" s="70">
        <f t="shared" si="16"/>
        <v>71404.956000000006</v>
      </c>
      <c r="AN29" s="70">
        <f t="shared" si="16"/>
        <v>856859.47200000007</v>
      </c>
      <c r="AO29" s="70">
        <f t="shared" si="16"/>
        <v>73547.104680000004</v>
      </c>
      <c r="AP29" s="70">
        <f t="shared" si="16"/>
        <v>73547.104680000004</v>
      </c>
      <c r="AQ29" s="70">
        <f t="shared" si="16"/>
        <v>73547.104680000004</v>
      </c>
      <c r="AR29" s="70">
        <f t="shared" si="16"/>
        <v>73547.104680000004</v>
      </c>
      <c r="AS29" s="70">
        <f t="shared" si="16"/>
        <v>73547.104680000004</v>
      </c>
      <c r="AT29" s="70">
        <f t="shared" si="16"/>
        <v>73547.104680000004</v>
      </c>
      <c r="AU29" s="70">
        <f t="shared" si="16"/>
        <v>73547.104680000004</v>
      </c>
      <c r="AV29" s="70">
        <f t="shared" si="16"/>
        <v>73547.104680000004</v>
      </c>
      <c r="AW29" s="70">
        <f t="shared" si="16"/>
        <v>73547.104680000004</v>
      </c>
      <c r="AX29" s="70">
        <f t="shared" si="16"/>
        <v>73547.104680000004</v>
      </c>
      <c r="AY29" s="70">
        <f t="shared" si="16"/>
        <v>73547.104680000004</v>
      </c>
      <c r="AZ29" s="70">
        <f t="shared" si="16"/>
        <v>73547.104680000004</v>
      </c>
      <c r="BA29" s="70">
        <f t="shared" si="16"/>
        <v>882565.25615999999</v>
      </c>
      <c r="BB29" s="70">
        <f t="shared" si="16"/>
        <v>909042.21384480002</v>
      </c>
    </row>
    <row r="30" spans="1:70" s="71" customFormat="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</row>
    <row r="31" spans="1:70" s="80" customFormat="1" collapsed="1" x14ac:dyDescent="0.2">
      <c r="A31" s="80" t="s">
        <v>28</v>
      </c>
      <c r="B31" s="149">
        <f>B16+B24+B29</f>
        <v>5400</v>
      </c>
      <c r="C31" s="149">
        <f t="shared" ref="C31:BB31" si="17">C16+C24+C29</f>
        <v>5400</v>
      </c>
      <c r="D31" s="149">
        <f t="shared" si="17"/>
        <v>5400</v>
      </c>
      <c r="E31" s="149">
        <f t="shared" si="17"/>
        <v>22795.366666666669</v>
      </c>
      <c r="F31" s="149">
        <f t="shared" si="17"/>
        <v>44128.7</v>
      </c>
      <c r="G31" s="149">
        <f t="shared" si="17"/>
        <v>64257.4</v>
      </c>
      <c r="H31" s="149">
        <f t="shared" si="17"/>
        <v>85176.833333333328</v>
      </c>
      <c r="I31" s="149">
        <f t="shared" si="17"/>
        <v>218671.5</v>
      </c>
      <c r="J31" s="149">
        <f t="shared" si="17"/>
        <v>357125.55</v>
      </c>
      <c r="K31" s="149">
        <f t="shared" si="17"/>
        <v>370925.55</v>
      </c>
      <c r="L31" s="149">
        <f t="shared" si="17"/>
        <v>370925.55</v>
      </c>
      <c r="M31" s="149">
        <f t="shared" si="17"/>
        <v>385904.7</v>
      </c>
      <c r="N31" s="149">
        <f t="shared" si="17"/>
        <v>1936111.15</v>
      </c>
      <c r="O31" s="149">
        <f t="shared" si="17"/>
        <v>385904.7</v>
      </c>
      <c r="P31" s="149">
        <f t="shared" si="17"/>
        <v>400424.7</v>
      </c>
      <c r="Q31" s="149">
        <f t="shared" si="17"/>
        <v>407024.7</v>
      </c>
      <c r="R31" s="149">
        <f t="shared" si="17"/>
        <v>413624.7</v>
      </c>
      <c r="S31" s="149">
        <f t="shared" si="17"/>
        <v>420224.7</v>
      </c>
      <c r="T31" s="149">
        <f t="shared" si="17"/>
        <v>426824.7</v>
      </c>
      <c r="U31" s="149">
        <f t="shared" si="17"/>
        <v>433424.7</v>
      </c>
      <c r="V31" s="149">
        <f t="shared" si="17"/>
        <v>440024.7</v>
      </c>
      <c r="W31" s="149">
        <f t="shared" si="17"/>
        <v>446624.7</v>
      </c>
      <c r="X31" s="149">
        <f t="shared" si="17"/>
        <v>453224.7</v>
      </c>
      <c r="Y31" s="149">
        <f t="shared" si="17"/>
        <v>453224.7</v>
      </c>
      <c r="Z31" s="149">
        <f t="shared" si="17"/>
        <v>453224.7</v>
      </c>
      <c r="AA31" s="149">
        <f t="shared" si="17"/>
        <v>5133776.3999999994</v>
      </c>
      <c r="AB31" s="149">
        <f t="shared" si="17"/>
        <v>466821.44099999999</v>
      </c>
      <c r="AC31" s="149">
        <f t="shared" si="17"/>
        <v>466821.44099999999</v>
      </c>
      <c r="AD31" s="149">
        <f t="shared" si="17"/>
        <v>466821.44099999999</v>
      </c>
      <c r="AE31" s="149">
        <f t="shared" si="17"/>
        <v>466821.44099999999</v>
      </c>
      <c r="AF31" s="149">
        <f t="shared" si="17"/>
        <v>466821.44099999999</v>
      </c>
      <c r="AG31" s="149">
        <f t="shared" si="17"/>
        <v>466821.44099999999</v>
      </c>
      <c r="AH31" s="149">
        <f t="shared" si="17"/>
        <v>466821.44099999999</v>
      </c>
      <c r="AI31" s="149">
        <f t="shared" si="17"/>
        <v>466821.44099999999</v>
      </c>
      <c r="AJ31" s="149">
        <f t="shared" si="17"/>
        <v>466821.44099999999</v>
      </c>
      <c r="AK31" s="149">
        <f t="shared" si="17"/>
        <v>466821.44099999999</v>
      </c>
      <c r="AL31" s="149">
        <f t="shared" si="17"/>
        <v>466821.44099999999</v>
      </c>
      <c r="AM31" s="149">
        <f t="shared" si="17"/>
        <v>466821.44099999999</v>
      </c>
      <c r="AN31" s="149">
        <f t="shared" si="17"/>
        <v>5601857.2920000004</v>
      </c>
      <c r="AO31" s="149">
        <f t="shared" si="17"/>
        <v>480826.08423000004</v>
      </c>
      <c r="AP31" s="149">
        <f t="shared" si="17"/>
        <v>480826.08423000004</v>
      </c>
      <c r="AQ31" s="149">
        <f t="shared" si="17"/>
        <v>480826.08423000004</v>
      </c>
      <c r="AR31" s="149">
        <f t="shared" si="17"/>
        <v>480826.08423000004</v>
      </c>
      <c r="AS31" s="149">
        <f t="shared" si="17"/>
        <v>480826.08423000004</v>
      </c>
      <c r="AT31" s="149">
        <f t="shared" si="17"/>
        <v>480826.08423000004</v>
      </c>
      <c r="AU31" s="149">
        <f t="shared" si="17"/>
        <v>480826.08423000004</v>
      </c>
      <c r="AV31" s="149">
        <f t="shared" si="17"/>
        <v>480826.08423000004</v>
      </c>
      <c r="AW31" s="149">
        <f t="shared" si="17"/>
        <v>480826.08423000004</v>
      </c>
      <c r="AX31" s="149">
        <f t="shared" si="17"/>
        <v>480826.08423000004</v>
      </c>
      <c r="AY31" s="149">
        <f t="shared" si="17"/>
        <v>480826.08423000004</v>
      </c>
      <c r="AZ31" s="149">
        <f t="shared" si="17"/>
        <v>480826.08423000004</v>
      </c>
      <c r="BA31" s="149">
        <f t="shared" si="17"/>
        <v>5769913.0107600009</v>
      </c>
      <c r="BB31" s="149">
        <f t="shared" si="17"/>
        <v>5943010.4010828007</v>
      </c>
    </row>
    <row r="32" spans="1:70" x14ac:dyDescent="0.2"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159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168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168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168"/>
      <c r="BB32" s="168"/>
    </row>
    <row r="33" spans="1:54" ht="15" x14ac:dyDescent="0.25">
      <c r="A33" s="60" t="s">
        <v>252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159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168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168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168"/>
      <c r="BB33" s="168"/>
    </row>
    <row r="34" spans="1:54" x14ac:dyDescent="0.2">
      <c r="A34" s="144" t="s">
        <v>223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159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168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168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168"/>
      <c r="BB34" s="168"/>
    </row>
    <row r="35" spans="1:54" x14ac:dyDescent="0.2">
      <c r="A35" s="67" t="s">
        <v>264</v>
      </c>
      <c r="B35" s="65">
        <f>'CIL Mgmt Assumptions'!C10</f>
        <v>47916.666666666672</v>
      </c>
      <c r="C35" s="65">
        <f>'CIL Mgmt Assumptions'!D10</f>
        <v>47916.666666666672</v>
      </c>
      <c r="D35" s="65">
        <f>'CIL Mgmt Assumptions'!E10</f>
        <v>47916.666666666672</v>
      </c>
      <c r="E35" s="65">
        <f>'CIL Mgmt Assumptions'!F10</f>
        <v>47916.666666666672</v>
      </c>
      <c r="F35" s="65">
        <f>'CIL Mgmt Assumptions'!G10</f>
        <v>47916.666666666672</v>
      </c>
      <c r="G35" s="65">
        <f>'CIL Mgmt Assumptions'!H10</f>
        <v>52083.333333333336</v>
      </c>
      <c r="H35" s="65">
        <f>'CIL Mgmt Assumptions'!I10</f>
        <v>52083.333333333336</v>
      </c>
      <c r="I35" s="65">
        <f>'CIL Mgmt Assumptions'!J10</f>
        <v>52083.333333333336</v>
      </c>
      <c r="J35" s="65">
        <f>'CIL Mgmt Assumptions'!K10</f>
        <v>52083.333333333336</v>
      </c>
      <c r="K35" s="65">
        <f>'CIL Mgmt Assumptions'!L10</f>
        <v>52083.333333333336</v>
      </c>
      <c r="L35" s="65">
        <f>'CIL Mgmt Assumptions'!M10</f>
        <v>52083.333333333336</v>
      </c>
      <c r="M35" s="65">
        <f>'CIL Mgmt Assumptions'!N10</f>
        <v>52083.333333333336</v>
      </c>
      <c r="N35" s="156">
        <f t="shared" ref="N35:N44" si="18">SUM(B35:M35)</f>
        <v>604166.66666666663</v>
      </c>
      <c r="O35" s="65">
        <f>$M35*(1+'CIL Mgmt Assumptions'!$D$18)</f>
        <v>53645.833333333336</v>
      </c>
      <c r="P35" s="65">
        <f>$M35*(1+'CIL Mgmt Assumptions'!$D$18)</f>
        <v>53645.833333333336</v>
      </c>
      <c r="Q35" s="65">
        <f>$M35*(1+'CIL Mgmt Assumptions'!$D$18)</f>
        <v>53645.833333333336</v>
      </c>
      <c r="R35" s="65">
        <f>$M35*(1+'CIL Mgmt Assumptions'!$D$18)</f>
        <v>53645.833333333336</v>
      </c>
      <c r="S35" s="65">
        <f>$M35*(1+'CIL Mgmt Assumptions'!$D$18)</f>
        <v>53645.833333333336</v>
      </c>
      <c r="T35" s="65">
        <f>$M35*(1+'CIL Mgmt Assumptions'!$D$18)</f>
        <v>53645.833333333336</v>
      </c>
      <c r="U35" s="65">
        <f>$M35*(1+'CIL Mgmt Assumptions'!$D$18)</f>
        <v>53645.833333333336</v>
      </c>
      <c r="V35" s="65">
        <f>$M35*(1+'CIL Mgmt Assumptions'!$D$18)</f>
        <v>53645.833333333336</v>
      </c>
      <c r="W35" s="65">
        <f>$M35*(1+'CIL Mgmt Assumptions'!$D$18)</f>
        <v>53645.833333333336</v>
      </c>
      <c r="X35" s="65">
        <f>$M35*(1+'CIL Mgmt Assumptions'!$D$18)</f>
        <v>53645.833333333336</v>
      </c>
      <c r="Y35" s="65">
        <f>$M35*(1+'CIL Mgmt Assumptions'!$D$18)</f>
        <v>53645.833333333336</v>
      </c>
      <c r="Z35" s="65">
        <f>$M35*(1+'CIL Mgmt Assumptions'!$D$18)</f>
        <v>53645.833333333336</v>
      </c>
      <c r="AA35" s="59">
        <f t="shared" ref="AA35:AA44" si="19">SUM(O35:Z35)</f>
        <v>643750</v>
      </c>
      <c r="AB35" s="65">
        <f>$Z35*(1+'CIL Mgmt Assumptions'!$E$18)</f>
        <v>55255.208333333336</v>
      </c>
      <c r="AC35" s="65">
        <f>$Z35*(1+'CIL Mgmt Assumptions'!$E$18)</f>
        <v>55255.208333333336</v>
      </c>
      <c r="AD35" s="65">
        <f>$Z35*(1+'CIL Mgmt Assumptions'!$E$18)</f>
        <v>55255.208333333336</v>
      </c>
      <c r="AE35" s="65">
        <f>$Z35*(1+'CIL Mgmt Assumptions'!$E$18)</f>
        <v>55255.208333333336</v>
      </c>
      <c r="AF35" s="65">
        <f>$Z35*(1+'CIL Mgmt Assumptions'!$E$18)</f>
        <v>55255.208333333336</v>
      </c>
      <c r="AG35" s="65">
        <f>$Z35*(1+'CIL Mgmt Assumptions'!$E$18)</f>
        <v>55255.208333333336</v>
      </c>
      <c r="AH35" s="65">
        <f>$Z35*(1+'CIL Mgmt Assumptions'!$E$18)</f>
        <v>55255.208333333336</v>
      </c>
      <c r="AI35" s="65">
        <f>$Z35*(1+'CIL Mgmt Assumptions'!$E$18)</f>
        <v>55255.208333333336</v>
      </c>
      <c r="AJ35" s="65">
        <f>$Z35*(1+'CIL Mgmt Assumptions'!$E$18)</f>
        <v>55255.208333333336</v>
      </c>
      <c r="AK35" s="65">
        <f>$Z35*(1+'CIL Mgmt Assumptions'!$E$18)</f>
        <v>55255.208333333336</v>
      </c>
      <c r="AL35" s="65">
        <f>$Z35*(1+'CIL Mgmt Assumptions'!$E$18)</f>
        <v>55255.208333333336</v>
      </c>
      <c r="AM35" s="65">
        <f>$Z35*(1+'CIL Mgmt Assumptions'!$E$18)</f>
        <v>55255.208333333336</v>
      </c>
      <c r="AN35" s="172">
        <f>SUM(AB35:AM35)</f>
        <v>663062.5</v>
      </c>
      <c r="AO35" s="65">
        <f>$AM35*(1+'CIL Mgmt Assumptions'!$F$18)</f>
        <v>56912.864583333336</v>
      </c>
      <c r="AP35" s="65">
        <f>$AM35*(1+'CIL Mgmt Assumptions'!$F$18)</f>
        <v>56912.864583333336</v>
      </c>
      <c r="AQ35" s="65">
        <f>$AM35*(1+'CIL Mgmt Assumptions'!$F$18)</f>
        <v>56912.864583333336</v>
      </c>
      <c r="AR35" s="65">
        <f>$AM35*(1+'CIL Mgmt Assumptions'!$F$18)</f>
        <v>56912.864583333336</v>
      </c>
      <c r="AS35" s="65">
        <f>$AM35*(1+'CIL Mgmt Assumptions'!$F$18)</f>
        <v>56912.864583333336</v>
      </c>
      <c r="AT35" s="65">
        <f>$AM35*(1+'CIL Mgmt Assumptions'!$F$18)</f>
        <v>56912.864583333336</v>
      </c>
      <c r="AU35" s="65">
        <f>$AM35*(1+'CIL Mgmt Assumptions'!$F$18)</f>
        <v>56912.864583333336</v>
      </c>
      <c r="AV35" s="65">
        <f>$AM35*(1+'CIL Mgmt Assumptions'!$F$18)</f>
        <v>56912.864583333336</v>
      </c>
      <c r="AW35" s="65">
        <f>$AM35*(1+'CIL Mgmt Assumptions'!$F$18)</f>
        <v>56912.864583333336</v>
      </c>
      <c r="AX35" s="65">
        <f>$AM35*(1+'CIL Mgmt Assumptions'!$F$18)</f>
        <v>56912.864583333336</v>
      </c>
      <c r="AY35" s="65">
        <f>$AM35*(1+'CIL Mgmt Assumptions'!$F$18)</f>
        <v>56912.864583333336</v>
      </c>
      <c r="AZ35" s="65">
        <f>$AM35*(1+'CIL Mgmt Assumptions'!$F$18)</f>
        <v>56912.864583333336</v>
      </c>
      <c r="BA35" s="59">
        <f t="shared" ref="BA35:BA44" si="20">SUM(AO35:AZ35)</f>
        <v>682954.375</v>
      </c>
      <c r="BB35" s="172">
        <f>BA35*(1+'CIL Mgmt Assumptions'!$G$18)</f>
        <v>703443.00624999998</v>
      </c>
    </row>
    <row r="36" spans="1:54" x14ac:dyDescent="0.2">
      <c r="A36" s="67" t="s">
        <v>265</v>
      </c>
      <c r="B36" s="65">
        <f>(Headcount!I243-Headcount!I245)*'CIL Mgmt Assumptions'!$B$22</f>
        <v>2.1827872842550277E-13</v>
      </c>
      <c r="C36" s="65">
        <f>(Headcount!J243-Headcount!J245)*'CIL Mgmt Assumptions'!$B$22</f>
        <v>2.1827872842550277E-13</v>
      </c>
      <c r="D36" s="65">
        <f>(Headcount!K243-Headcount!K245)*'CIL Mgmt Assumptions'!$B$22</f>
        <v>2.1827872842550277E-13</v>
      </c>
      <c r="E36" s="65">
        <f>(Headcount!L243-Headcount!L245)*'CIL Mgmt Assumptions'!$B$22</f>
        <v>2.1827872842550277E-13</v>
      </c>
      <c r="F36" s="65">
        <f>(Headcount!M243-Headcount!M245)*'CIL Mgmt Assumptions'!$B$22</f>
        <v>2.1827872842550277E-13</v>
      </c>
      <c r="G36" s="65">
        <f>(Headcount!N243-Headcount!N245)*'CIL Mgmt Assumptions'!$B$22</f>
        <v>125.00000000000014</v>
      </c>
      <c r="H36" s="65">
        <f>(Headcount!O243-Headcount!O245)*'CIL Mgmt Assumptions'!$B$22</f>
        <v>125.00000000000014</v>
      </c>
      <c r="I36" s="65">
        <f>(Headcount!P243-Headcount!P245)*'CIL Mgmt Assumptions'!$B$22</f>
        <v>125.00000000000014</v>
      </c>
      <c r="J36" s="65">
        <f>(Headcount!Q243-Headcount!Q245)*'CIL Mgmt Assumptions'!$B$22</f>
        <v>125.00000000000014</v>
      </c>
      <c r="K36" s="65">
        <f>(Headcount!R243-Headcount!R245)*'CIL Mgmt Assumptions'!$B$22</f>
        <v>125.00000000000014</v>
      </c>
      <c r="L36" s="65">
        <f>(Headcount!S243-Headcount!S245)*'CIL Mgmt Assumptions'!$B$22</f>
        <v>125.00000000000014</v>
      </c>
      <c r="M36" s="65">
        <f>(Headcount!T243-Headcount!T245)*'CIL Mgmt Assumptions'!$B$22</f>
        <v>125.00000000000014</v>
      </c>
      <c r="N36" s="156">
        <f t="shared" si="18"/>
        <v>875.00000000000193</v>
      </c>
      <c r="O36" s="65">
        <f>$M36*(1+'CIL Mgmt Assumptions'!$D$18)</f>
        <v>128.75000000000014</v>
      </c>
      <c r="P36" s="65">
        <f>$M36*(1+'CIL Mgmt Assumptions'!$D$18)</f>
        <v>128.75000000000014</v>
      </c>
      <c r="Q36" s="65">
        <f>$M36*(1+'CIL Mgmt Assumptions'!$D$18)</f>
        <v>128.75000000000014</v>
      </c>
      <c r="R36" s="65">
        <f>$M36*(1+'CIL Mgmt Assumptions'!$D$18)</f>
        <v>128.75000000000014</v>
      </c>
      <c r="S36" s="65">
        <f>$M36*(1+'CIL Mgmt Assumptions'!$D$18)</f>
        <v>128.75000000000014</v>
      </c>
      <c r="T36" s="65">
        <f>$M36*(1+'CIL Mgmt Assumptions'!$D$18)</f>
        <v>128.75000000000014</v>
      </c>
      <c r="U36" s="65">
        <f>$M36*(1+'CIL Mgmt Assumptions'!$D$18)</f>
        <v>128.75000000000014</v>
      </c>
      <c r="V36" s="65">
        <f>$M36*(1+'CIL Mgmt Assumptions'!$D$18)</f>
        <v>128.75000000000014</v>
      </c>
      <c r="W36" s="65">
        <f>$M36*(1+'CIL Mgmt Assumptions'!$D$18)</f>
        <v>128.75000000000014</v>
      </c>
      <c r="X36" s="65">
        <f>$M36*(1+'CIL Mgmt Assumptions'!$D$18)</f>
        <v>128.75000000000014</v>
      </c>
      <c r="Y36" s="65">
        <f>$M36*(1+'CIL Mgmt Assumptions'!$D$18)</f>
        <v>128.75000000000014</v>
      </c>
      <c r="Z36" s="65">
        <f>$M36*(1+'CIL Mgmt Assumptions'!$D$18)</f>
        <v>128.75000000000014</v>
      </c>
      <c r="AA36" s="59">
        <f t="shared" si="19"/>
        <v>1545.000000000002</v>
      </c>
      <c r="AB36" s="65">
        <f>$Z36*(1+'CIL Mgmt Assumptions'!$E$18)</f>
        <v>132.61250000000015</v>
      </c>
      <c r="AC36" s="65">
        <f>$Z36*(1+'CIL Mgmt Assumptions'!$E$18)</f>
        <v>132.61250000000015</v>
      </c>
      <c r="AD36" s="65">
        <f>$Z36*(1+'CIL Mgmt Assumptions'!$E$18)</f>
        <v>132.61250000000015</v>
      </c>
      <c r="AE36" s="65">
        <f>$Z36*(1+'CIL Mgmt Assumptions'!$E$18)</f>
        <v>132.61250000000015</v>
      </c>
      <c r="AF36" s="65">
        <f>$Z36*(1+'CIL Mgmt Assumptions'!$E$18)</f>
        <v>132.61250000000015</v>
      </c>
      <c r="AG36" s="65">
        <f>$Z36*(1+'CIL Mgmt Assumptions'!$E$18)</f>
        <v>132.61250000000015</v>
      </c>
      <c r="AH36" s="65">
        <f>$Z36*(1+'CIL Mgmt Assumptions'!$E$18)</f>
        <v>132.61250000000015</v>
      </c>
      <c r="AI36" s="65">
        <f>$Z36*(1+'CIL Mgmt Assumptions'!$E$18)</f>
        <v>132.61250000000015</v>
      </c>
      <c r="AJ36" s="65">
        <f>$Z36*(1+'CIL Mgmt Assumptions'!$E$18)</f>
        <v>132.61250000000015</v>
      </c>
      <c r="AK36" s="65">
        <f>$Z36*(1+'CIL Mgmt Assumptions'!$E$18)</f>
        <v>132.61250000000015</v>
      </c>
      <c r="AL36" s="65">
        <f>$Z36*(1+'CIL Mgmt Assumptions'!$E$18)</f>
        <v>132.61250000000015</v>
      </c>
      <c r="AM36" s="65">
        <f>$Z36*(1+'CIL Mgmt Assumptions'!$E$18)</f>
        <v>132.61250000000015</v>
      </c>
      <c r="AN36" s="172">
        <f t="shared" ref="AN36:AN44" si="21">SUM(AB36:AM36)</f>
        <v>1591.350000000002</v>
      </c>
      <c r="AO36" s="65">
        <f>$AE36*(1+'CIL Mgmt Assumptions'!$F$18)</f>
        <v>136.59087500000015</v>
      </c>
      <c r="AP36" s="65">
        <f>$AE36*(1+'CIL Mgmt Assumptions'!$F$18)</f>
        <v>136.59087500000015</v>
      </c>
      <c r="AQ36" s="65">
        <f>$AE36*(1+'CIL Mgmt Assumptions'!$F$18)</f>
        <v>136.59087500000015</v>
      </c>
      <c r="AR36" s="65">
        <f>$AE36*(1+'CIL Mgmt Assumptions'!$F$18)</f>
        <v>136.59087500000015</v>
      </c>
      <c r="AS36" s="65">
        <f>$AE36*(1+'CIL Mgmt Assumptions'!$F$18)</f>
        <v>136.59087500000015</v>
      </c>
      <c r="AT36" s="65">
        <f>$AE36*(1+'CIL Mgmt Assumptions'!$F$18)</f>
        <v>136.59087500000015</v>
      </c>
      <c r="AU36" s="65">
        <f>$AE36*(1+'CIL Mgmt Assumptions'!$F$18)</f>
        <v>136.59087500000015</v>
      </c>
      <c r="AV36" s="65">
        <f>$AE36*(1+'CIL Mgmt Assumptions'!$F$18)</f>
        <v>136.59087500000015</v>
      </c>
      <c r="AW36" s="65">
        <f>$AE36*(1+'CIL Mgmt Assumptions'!$F$18)</f>
        <v>136.59087500000015</v>
      </c>
      <c r="AX36" s="65">
        <f>$AE36*(1+'CIL Mgmt Assumptions'!$F$18)</f>
        <v>136.59087500000015</v>
      </c>
      <c r="AY36" s="65">
        <f>$AE36*(1+'CIL Mgmt Assumptions'!$F$18)</f>
        <v>136.59087500000015</v>
      </c>
      <c r="AZ36" s="65">
        <f>$AE36*(1+'CIL Mgmt Assumptions'!$F$18)</f>
        <v>136.59087500000015</v>
      </c>
      <c r="BA36" s="59">
        <f t="shared" si="20"/>
        <v>1639.0905000000014</v>
      </c>
      <c r="BB36" s="172">
        <f>BB35*'CIL Mgmt Assumptions'!$G$18</f>
        <v>21103.290187499999</v>
      </c>
    </row>
    <row r="37" spans="1:54" x14ac:dyDescent="0.2">
      <c r="A37" s="67" t="s">
        <v>266</v>
      </c>
      <c r="B37" s="65">
        <f>Headcount!I245*'CIL Mgmt Assumptions'!$B$30</f>
        <v>7187.4999999999991</v>
      </c>
      <c r="C37" s="65">
        <f>Headcount!J245*'CIL Mgmt Assumptions'!$B$30</f>
        <v>7187.4999999999991</v>
      </c>
      <c r="D37" s="65">
        <f>Headcount!K245*'CIL Mgmt Assumptions'!$B$30</f>
        <v>7187.4999999999991</v>
      </c>
      <c r="E37" s="65">
        <f>Headcount!L245*'CIL Mgmt Assumptions'!$B$30</f>
        <v>7187.4999999999991</v>
      </c>
      <c r="F37" s="65">
        <f>Headcount!M245*'CIL Mgmt Assumptions'!$B$30</f>
        <v>7187.4999999999991</v>
      </c>
      <c r="G37" s="65">
        <f>Headcount!N245*'CIL Mgmt Assumptions'!$B$30</f>
        <v>7187.4999999999991</v>
      </c>
      <c r="H37" s="65">
        <f>Headcount!O245*'CIL Mgmt Assumptions'!$B$30</f>
        <v>7187.4999999999991</v>
      </c>
      <c r="I37" s="65">
        <f>Headcount!P245*'CIL Mgmt Assumptions'!$B$30</f>
        <v>7187.4999999999991</v>
      </c>
      <c r="J37" s="65">
        <f>Headcount!Q245*'CIL Mgmt Assumptions'!$B$30</f>
        <v>7187.4999999999991</v>
      </c>
      <c r="K37" s="65">
        <f>Headcount!R245*'CIL Mgmt Assumptions'!$B$30</f>
        <v>7187.4999999999991</v>
      </c>
      <c r="L37" s="65">
        <f>Headcount!S245*'CIL Mgmt Assumptions'!$B$30</f>
        <v>7187.4999999999991</v>
      </c>
      <c r="M37" s="65">
        <f>Headcount!T245*'CIL Mgmt Assumptions'!$B$30</f>
        <v>7187.4999999999991</v>
      </c>
      <c r="N37" s="156">
        <f t="shared" si="18"/>
        <v>86249.999999999985</v>
      </c>
      <c r="O37" s="65">
        <f>$M37*(1+'CIL Mgmt Assumptions'!$D$18)</f>
        <v>7403.1249999999991</v>
      </c>
      <c r="P37" s="65">
        <f>$M37*(1+'CIL Mgmt Assumptions'!$D$18)</f>
        <v>7403.1249999999991</v>
      </c>
      <c r="Q37" s="65">
        <f>$M37*(1+'CIL Mgmt Assumptions'!$D$18)</f>
        <v>7403.1249999999991</v>
      </c>
      <c r="R37" s="65">
        <f>$M37*(1+'CIL Mgmt Assumptions'!$D$18)</f>
        <v>7403.1249999999991</v>
      </c>
      <c r="S37" s="65">
        <f>$M37*(1+'CIL Mgmt Assumptions'!$D$18)</f>
        <v>7403.1249999999991</v>
      </c>
      <c r="T37" s="65">
        <f>$M37*(1+'CIL Mgmt Assumptions'!$D$18)</f>
        <v>7403.1249999999991</v>
      </c>
      <c r="U37" s="65">
        <f>$M37*(1+'CIL Mgmt Assumptions'!$D$18)</f>
        <v>7403.1249999999991</v>
      </c>
      <c r="V37" s="65">
        <f>$M37*(1+'CIL Mgmt Assumptions'!$D$18)</f>
        <v>7403.1249999999991</v>
      </c>
      <c r="W37" s="65">
        <f>$M37*(1+'CIL Mgmt Assumptions'!$D$18)</f>
        <v>7403.1249999999991</v>
      </c>
      <c r="X37" s="65">
        <f>$M37*(1+'CIL Mgmt Assumptions'!$D$18)</f>
        <v>7403.1249999999991</v>
      </c>
      <c r="Y37" s="65">
        <f>$M37*(1+'CIL Mgmt Assumptions'!$D$18)</f>
        <v>7403.1249999999991</v>
      </c>
      <c r="Z37" s="65">
        <f>$M37*(1+'CIL Mgmt Assumptions'!$D$18)</f>
        <v>7403.1249999999991</v>
      </c>
      <c r="AA37" s="59">
        <f t="shared" si="19"/>
        <v>88837.499999999985</v>
      </c>
      <c r="AB37" s="65">
        <f>$Z37*(1+'CIL Mgmt Assumptions'!$E$18)</f>
        <v>7625.2187499999991</v>
      </c>
      <c r="AC37" s="65">
        <f>$Z37*(1+'CIL Mgmt Assumptions'!$E$18)</f>
        <v>7625.2187499999991</v>
      </c>
      <c r="AD37" s="65">
        <f>$Z37*(1+'CIL Mgmt Assumptions'!$E$18)</f>
        <v>7625.2187499999991</v>
      </c>
      <c r="AE37" s="65">
        <f>$Z37*(1+'CIL Mgmt Assumptions'!$E$18)</f>
        <v>7625.2187499999991</v>
      </c>
      <c r="AF37" s="65">
        <f>$Z37*(1+'CIL Mgmt Assumptions'!$E$18)</f>
        <v>7625.2187499999991</v>
      </c>
      <c r="AG37" s="65">
        <f>$Z37*(1+'CIL Mgmt Assumptions'!$E$18)</f>
        <v>7625.2187499999991</v>
      </c>
      <c r="AH37" s="65">
        <f>$Z37*(1+'CIL Mgmt Assumptions'!$E$18)</f>
        <v>7625.2187499999991</v>
      </c>
      <c r="AI37" s="65">
        <f>$Z37*(1+'CIL Mgmt Assumptions'!$E$18)</f>
        <v>7625.2187499999991</v>
      </c>
      <c r="AJ37" s="65">
        <f>$Z37*(1+'CIL Mgmt Assumptions'!$E$18)</f>
        <v>7625.2187499999991</v>
      </c>
      <c r="AK37" s="65">
        <f>$Z37*(1+'CIL Mgmt Assumptions'!$E$18)</f>
        <v>7625.2187499999991</v>
      </c>
      <c r="AL37" s="65">
        <f>$Z37*(1+'CIL Mgmt Assumptions'!$E$18)</f>
        <v>7625.2187499999991</v>
      </c>
      <c r="AM37" s="65">
        <f>$Z37*(1+'CIL Mgmt Assumptions'!$E$18)</f>
        <v>7625.2187499999991</v>
      </c>
      <c r="AN37" s="172">
        <f t="shared" si="21"/>
        <v>91502.624999999985</v>
      </c>
      <c r="AO37" s="65">
        <f>$AE37*(1+'CIL Mgmt Assumptions'!$F$18)</f>
        <v>7853.9753124999988</v>
      </c>
      <c r="AP37" s="65">
        <f>$AE37*(1+'CIL Mgmt Assumptions'!$F$18)</f>
        <v>7853.9753124999988</v>
      </c>
      <c r="AQ37" s="65">
        <f>$AE37*(1+'CIL Mgmt Assumptions'!$F$18)</f>
        <v>7853.9753124999988</v>
      </c>
      <c r="AR37" s="65">
        <f>$AE37*(1+'CIL Mgmt Assumptions'!$F$18)</f>
        <v>7853.9753124999988</v>
      </c>
      <c r="AS37" s="65">
        <f>$AE37*(1+'CIL Mgmt Assumptions'!$F$18)</f>
        <v>7853.9753124999988</v>
      </c>
      <c r="AT37" s="65">
        <f>$AE37*(1+'CIL Mgmt Assumptions'!$F$18)</f>
        <v>7853.9753124999988</v>
      </c>
      <c r="AU37" s="65">
        <f>$AE37*(1+'CIL Mgmt Assumptions'!$F$18)</f>
        <v>7853.9753124999988</v>
      </c>
      <c r="AV37" s="65">
        <f>$AE37*(1+'CIL Mgmt Assumptions'!$F$18)</f>
        <v>7853.9753124999988</v>
      </c>
      <c r="AW37" s="65">
        <f>$AE37*(1+'CIL Mgmt Assumptions'!$F$18)</f>
        <v>7853.9753124999988</v>
      </c>
      <c r="AX37" s="65">
        <f>$AE37*(1+'CIL Mgmt Assumptions'!$F$18)</f>
        <v>7853.9753124999988</v>
      </c>
      <c r="AY37" s="65">
        <f>$AE37*(1+'CIL Mgmt Assumptions'!$F$18)</f>
        <v>7853.9753124999988</v>
      </c>
      <c r="AZ37" s="65">
        <f>$AE37*(1+'CIL Mgmt Assumptions'!$F$18)</f>
        <v>7853.9753124999988</v>
      </c>
      <c r="BA37" s="59">
        <f t="shared" si="20"/>
        <v>94247.703749999986</v>
      </c>
      <c r="BB37" s="172">
        <f>BA37*(1+'CIL Mgmt Assumptions'!$B$30)</f>
        <v>108384.85931249998</v>
      </c>
    </row>
    <row r="38" spans="1:54" x14ac:dyDescent="0.2">
      <c r="A38" s="67" t="s">
        <v>267</v>
      </c>
      <c r="B38" s="65">
        <f>(B35+B36+B37)*'CIL Mgmt Assumptions'!$B$28</f>
        <v>4220.979166666667</v>
      </c>
      <c r="C38" s="65">
        <f>(C35+C36+C37)*'CIL Mgmt Assumptions'!$B$28</f>
        <v>4220.979166666667</v>
      </c>
      <c r="D38" s="65">
        <f>(D35+D36+D37)*'CIL Mgmt Assumptions'!$B$28</f>
        <v>4220.979166666667</v>
      </c>
      <c r="E38" s="65">
        <f>(E35+E36+E37)*'CIL Mgmt Assumptions'!$B$28</f>
        <v>4220.979166666667</v>
      </c>
      <c r="F38" s="65">
        <f>(F35+F36+F37)*'CIL Mgmt Assumptions'!$B$28</f>
        <v>4220.979166666667</v>
      </c>
      <c r="G38" s="65">
        <f>(G35+G36+G37)*'CIL Mgmt Assumptions'!$B$28</f>
        <v>4549.7208333333338</v>
      </c>
      <c r="H38" s="65">
        <f>(H35+H36+H37)*'CIL Mgmt Assumptions'!$B$28</f>
        <v>4549.7208333333338</v>
      </c>
      <c r="I38" s="65">
        <f>(I35+I36+I37)*'CIL Mgmt Assumptions'!$B$28</f>
        <v>4549.7208333333338</v>
      </c>
      <c r="J38" s="65">
        <f>(J35+J36+J37)*'CIL Mgmt Assumptions'!$B$28</f>
        <v>4549.7208333333338</v>
      </c>
      <c r="K38" s="65">
        <f>(K35+K36+K37)*'CIL Mgmt Assumptions'!$B$28</f>
        <v>4549.7208333333338</v>
      </c>
      <c r="L38" s="65">
        <f>(L35+L36+L37)*'CIL Mgmt Assumptions'!$B$28</f>
        <v>4549.7208333333338</v>
      </c>
      <c r="M38" s="65">
        <f>(M35+M36+M37)*'CIL Mgmt Assumptions'!$B$28</f>
        <v>4549.7208333333338</v>
      </c>
      <c r="N38" s="156">
        <f t="shared" si="18"/>
        <v>52952.941666666666</v>
      </c>
      <c r="O38" s="65">
        <f>(O35+O36+O37)*'CIL Mgmt Assumptions'!$B$28</f>
        <v>4686.2124583333334</v>
      </c>
      <c r="P38" s="65">
        <f>(P35+P36+P37)*'CIL Mgmt Assumptions'!$B$28</f>
        <v>4686.2124583333334</v>
      </c>
      <c r="Q38" s="65">
        <f>(Q35+Q36+Q37)*'CIL Mgmt Assumptions'!$B$28</f>
        <v>4686.2124583333334</v>
      </c>
      <c r="R38" s="65">
        <f>(R35+R36+R37)*'CIL Mgmt Assumptions'!$B$28</f>
        <v>4686.2124583333334</v>
      </c>
      <c r="S38" s="65">
        <f>(S35+S36+S37)*'CIL Mgmt Assumptions'!$B$28</f>
        <v>4686.2124583333334</v>
      </c>
      <c r="T38" s="65">
        <f>(T35+T36+T37)*'CIL Mgmt Assumptions'!$B$28</f>
        <v>4686.2124583333334</v>
      </c>
      <c r="U38" s="65">
        <f>(U35+U36+U37)*'CIL Mgmt Assumptions'!$B$28</f>
        <v>4686.2124583333334</v>
      </c>
      <c r="V38" s="65">
        <f>(V35+V36+V37)*'CIL Mgmt Assumptions'!$B$28</f>
        <v>4686.2124583333334</v>
      </c>
      <c r="W38" s="65">
        <f>(W35+W36+W37)*'CIL Mgmt Assumptions'!$B$28</f>
        <v>4686.2124583333334</v>
      </c>
      <c r="X38" s="65">
        <f>(X35+X36+X37)*'CIL Mgmt Assumptions'!$B$28</f>
        <v>4686.2124583333334</v>
      </c>
      <c r="Y38" s="65">
        <f>(Y35+Y36+Y37)*'CIL Mgmt Assumptions'!$B$28</f>
        <v>4686.2124583333334</v>
      </c>
      <c r="Z38" s="65">
        <f>(Z35+Z36+Z37)*'CIL Mgmt Assumptions'!$B$28</f>
        <v>4686.2124583333334</v>
      </c>
      <c r="AA38" s="59">
        <f t="shared" si="19"/>
        <v>56234.549500000016</v>
      </c>
      <c r="AB38" s="65">
        <f>(AB35+AB36+AB37)*'CIL Mgmt Assumptions'!$B$28</f>
        <v>4826.7988320833338</v>
      </c>
      <c r="AC38" s="65">
        <f>(AC35+AC36+AC37)*'CIL Mgmt Assumptions'!$B$28</f>
        <v>4826.7988320833338</v>
      </c>
      <c r="AD38" s="65">
        <f>(AD35+AD36+AD37)*'CIL Mgmt Assumptions'!$B$28</f>
        <v>4826.7988320833338</v>
      </c>
      <c r="AE38" s="65">
        <f>(AE35+AE36+AE37)*'CIL Mgmt Assumptions'!$B$28</f>
        <v>4826.7988320833338</v>
      </c>
      <c r="AF38" s="65">
        <f>(AF35+AF36+AF37)*'CIL Mgmt Assumptions'!$B$28</f>
        <v>4826.7988320833338</v>
      </c>
      <c r="AG38" s="65">
        <f>(AG35+AG36+AG37)*'CIL Mgmt Assumptions'!$B$28</f>
        <v>4826.7988320833338</v>
      </c>
      <c r="AH38" s="65">
        <f>(AH35+AH36+AH37)*'CIL Mgmt Assumptions'!$B$28</f>
        <v>4826.7988320833338</v>
      </c>
      <c r="AI38" s="65">
        <f>(AI35+AI36+AI37)*'CIL Mgmt Assumptions'!$B$28</f>
        <v>4826.7988320833338</v>
      </c>
      <c r="AJ38" s="65">
        <f>(AJ35+AJ36+AJ37)*'CIL Mgmt Assumptions'!$B$28</f>
        <v>4826.7988320833338</v>
      </c>
      <c r="AK38" s="65">
        <f>(AK35+AK36+AK37)*'CIL Mgmt Assumptions'!$B$28</f>
        <v>4826.7988320833338</v>
      </c>
      <c r="AL38" s="65">
        <f>(AL35+AL36+AL37)*'CIL Mgmt Assumptions'!$B$28</f>
        <v>4826.7988320833338</v>
      </c>
      <c r="AM38" s="65">
        <f>(AM35+AM36+AM37)*'CIL Mgmt Assumptions'!$B$28</f>
        <v>4826.7988320833338</v>
      </c>
      <c r="AN38" s="172">
        <f t="shared" si="21"/>
        <v>57921.585984999991</v>
      </c>
      <c r="AO38" s="65">
        <f>(AO35+AO36+AO37)*'CIL Mgmt Assumptions'!$B$28</f>
        <v>4971.6027970458335</v>
      </c>
      <c r="AP38" s="65">
        <f>(AP35+AP36+AP37)*'CIL Mgmt Assumptions'!$B$28</f>
        <v>4971.6027970458335</v>
      </c>
      <c r="AQ38" s="65">
        <f>(AQ35+AQ36+AQ37)*'CIL Mgmt Assumptions'!$B$28</f>
        <v>4971.6027970458335</v>
      </c>
      <c r="AR38" s="65">
        <f>(AR35+AR36+AR37)*'CIL Mgmt Assumptions'!$B$28</f>
        <v>4971.6027970458335</v>
      </c>
      <c r="AS38" s="65">
        <f>(AS35+AS36+AS37)*'CIL Mgmt Assumptions'!$B$28</f>
        <v>4971.6027970458335</v>
      </c>
      <c r="AT38" s="65">
        <f>(AT35+AT36+AT37)*'CIL Mgmt Assumptions'!$B$28</f>
        <v>4971.6027970458335</v>
      </c>
      <c r="AU38" s="65">
        <f>(AU35+AU36+AU37)*'CIL Mgmt Assumptions'!$B$28</f>
        <v>4971.6027970458335</v>
      </c>
      <c r="AV38" s="65">
        <f>(AV35+AV36+AV37)*'CIL Mgmt Assumptions'!$B$28</f>
        <v>4971.6027970458335</v>
      </c>
      <c r="AW38" s="65">
        <f>(AW35+AW36+AW37)*'CIL Mgmt Assumptions'!$B$28</f>
        <v>4971.6027970458335</v>
      </c>
      <c r="AX38" s="65">
        <f>(AX35+AX36+AX37)*'CIL Mgmt Assumptions'!$B$28</f>
        <v>4971.6027970458335</v>
      </c>
      <c r="AY38" s="65">
        <f>(AY35+AY36+AY37)*'CIL Mgmt Assumptions'!$B$28</f>
        <v>4971.6027970458335</v>
      </c>
      <c r="AZ38" s="65">
        <f>(AZ35+AZ36+AZ37)*'CIL Mgmt Assumptions'!$B$28</f>
        <v>4971.6027970458335</v>
      </c>
      <c r="BA38" s="59">
        <f t="shared" si="20"/>
        <v>59659.233564549992</v>
      </c>
      <c r="BB38" s="172">
        <f>(BB35+BB36+BB37)*'CIL Mgmt Assumptions'!$B$28</f>
        <v>63802.526530449992</v>
      </c>
    </row>
    <row r="39" spans="1:54" x14ac:dyDescent="0.2">
      <c r="A39" s="62" t="s">
        <v>185</v>
      </c>
      <c r="B39" s="65">
        <f>Headcount!I242*'CIL Mgmt Assumptions'!$B$36*'CIL Mgmt Assumptions'!$B$38</f>
        <v>6300</v>
      </c>
      <c r="C39" s="65">
        <f>Headcount!J242*'CIL Mgmt Assumptions'!$B$36*'CIL Mgmt Assumptions'!$B$38</f>
        <v>6300</v>
      </c>
      <c r="D39" s="65">
        <f>Headcount!K242*'CIL Mgmt Assumptions'!$B$36*'CIL Mgmt Assumptions'!$B$38</f>
        <v>6300</v>
      </c>
      <c r="E39" s="65">
        <f>Headcount!L242*'CIL Mgmt Assumptions'!$B$36*'CIL Mgmt Assumptions'!$B$38</f>
        <v>6300</v>
      </c>
      <c r="F39" s="65">
        <f>Headcount!M242*'CIL Mgmt Assumptions'!$B$36*'CIL Mgmt Assumptions'!$B$38</f>
        <v>6300</v>
      </c>
      <c r="G39" s="65">
        <f>Headcount!N242*'CIL Mgmt Assumptions'!$B$36*'CIL Mgmt Assumptions'!$B$38</f>
        <v>7874.9999999999991</v>
      </c>
      <c r="H39" s="65">
        <f>Headcount!O242*'CIL Mgmt Assumptions'!$B$36*'CIL Mgmt Assumptions'!$B$38</f>
        <v>7874.9999999999991</v>
      </c>
      <c r="I39" s="65">
        <f>Headcount!P242*'CIL Mgmt Assumptions'!$B$36*'CIL Mgmt Assumptions'!$B$38</f>
        <v>7874.9999999999991</v>
      </c>
      <c r="J39" s="65">
        <f>Headcount!Q242*'CIL Mgmt Assumptions'!$B$36*'CIL Mgmt Assumptions'!$B$38</f>
        <v>7874.9999999999991</v>
      </c>
      <c r="K39" s="65">
        <f>Headcount!R242*'CIL Mgmt Assumptions'!$B$36*'CIL Mgmt Assumptions'!$B$38</f>
        <v>7874.9999999999991</v>
      </c>
      <c r="L39" s="65">
        <f>Headcount!S242*'CIL Mgmt Assumptions'!$B$36*'CIL Mgmt Assumptions'!$B$38</f>
        <v>7874.9999999999991</v>
      </c>
      <c r="M39" s="65">
        <f>Headcount!T242*'CIL Mgmt Assumptions'!$B$36*'CIL Mgmt Assumptions'!$B$38</f>
        <v>7874.9999999999991</v>
      </c>
      <c r="N39" s="156">
        <f t="shared" si="18"/>
        <v>86625</v>
      </c>
      <c r="O39" s="65">
        <f>$M39*(1+'CIL Mgmt Assumptions'!$D$36)</f>
        <v>8505</v>
      </c>
      <c r="P39" s="65">
        <f>$M39*(1+'CIL Mgmt Assumptions'!$D$36)</f>
        <v>8505</v>
      </c>
      <c r="Q39" s="65">
        <f>$M39*(1+'CIL Mgmt Assumptions'!$D$36)</f>
        <v>8505</v>
      </c>
      <c r="R39" s="65">
        <f>$M39*(1+'CIL Mgmt Assumptions'!$D$36)</f>
        <v>8505</v>
      </c>
      <c r="S39" s="65">
        <f>$M39*(1+'CIL Mgmt Assumptions'!$D$36)</f>
        <v>8505</v>
      </c>
      <c r="T39" s="65">
        <f>$M39*(1+'CIL Mgmt Assumptions'!$D$36)</f>
        <v>8505</v>
      </c>
      <c r="U39" s="65">
        <f>$M39*(1+'CIL Mgmt Assumptions'!$D$36)</f>
        <v>8505</v>
      </c>
      <c r="V39" s="65">
        <f>$M39*(1+'CIL Mgmt Assumptions'!$D$36)</f>
        <v>8505</v>
      </c>
      <c r="W39" s="65">
        <f>$M39*(1+'CIL Mgmt Assumptions'!$D$36)</f>
        <v>8505</v>
      </c>
      <c r="X39" s="65">
        <f>$M39*(1+'CIL Mgmt Assumptions'!$D$36)</f>
        <v>8505</v>
      </c>
      <c r="Y39" s="65">
        <f>$M39*(1+'CIL Mgmt Assumptions'!$D$36)</f>
        <v>8505</v>
      </c>
      <c r="Z39" s="65">
        <f>$M39*(1+'CIL Mgmt Assumptions'!$D$36)</f>
        <v>8505</v>
      </c>
      <c r="AA39" s="59">
        <f t="shared" si="19"/>
        <v>102060</v>
      </c>
      <c r="AB39" s="65">
        <f>$Z39*(1+'CIL Mgmt Assumptions'!$E$36)</f>
        <v>9185.4000000000015</v>
      </c>
      <c r="AC39" s="65">
        <f>$Z39*(1+'CIL Mgmt Assumptions'!$E$36)</f>
        <v>9185.4000000000015</v>
      </c>
      <c r="AD39" s="65">
        <f>$Z39*(1+'CIL Mgmt Assumptions'!$E$36)</f>
        <v>9185.4000000000015</v>
      </c>
      <c r="AE39" s="65">
        <f>$Z39*(1+'CIL Mgmt Assumptions'!$E$36)</f>
        <v>9185.4000000000015</v>
      </c>
      <c r="AF39" s="65">
        <f>$Z39*(1+'CIL Mgmt Assumptions'!$E$36)</f>
        <v>9185.4000000000015</v>
      </c>
      <c r="AG39" s="65">
        <f>$Z39*(1+'CIL Mgmt Assumptions'!$E$36)</f>
        <v>9185.4000000000015</v>
      </c>
      <c r="AH39" s="65">
        <f>$Z39*(1+'CIL Mgmt Assumptions'!$E$36)</f>
        <v>9185.4000000000015</v>
      </c>
      <c r="AI39" s="65">
        <f>$Z39*(1+'CIL Mgmt Assumptions'!$E$36)</f>
        <v>9185.4000000000015</v>
      </c>
      <c r="AJ39" s="65">
        <f>$Z39*(1+'CIL Mgmt Assumptions'!$E$36)</f>
        <v>9185.4000000000015</v>
      </c>
      <c r="AK39" s="65">
        <f>$Z39*(1+'CIL Mgmt Assumptions'!$E$36)</f>
        <v>9185.4000000000015</v>
      </c>
      <c r="AL39" s="65">
        <f>$Z39*(1+'CIL Mgmt Assumptions'!$E$36)</f>
        <v>9185.4000000000015</v>
      </c>
      <c r="AM39" s="65">
        <f>$Z39*(1+'CIL Mgmt Assumptions'!$E$36)</f>
        <v>9185.4000000000015</v>
      </c>
      <c r="AN39" s="172">
        <f t="shared" si="21"/>
        <v>110224.79999999999</v>
      </c>
      <c r="AO39" s="65">
        <f>$AE39*(1+'CIL Mgmt Assumptions'!$F$36)</f>
        <v>9920.2320000000018</v>
      </c>
      <c r="AP39" s="65">
        <f>$AE39*(1+'CIL Mgmt Assumptions'!$F$36)</f>
        <v>9920.2320000000018</v>
      </c>
      <c r="AQ39" s="65">
        <f>$AE39*(1+'CIL Mgmt Assumptions'!$F$36)</f>
        <v>9920.2320000000018</v>
      </c>
      <c r="AR39" s="65">
        <f>$AE39*(1+'CIL Mgmt Assumptions'!$F$36)</f>
        <v>9920.2320000000018</v>
      </c>
      <c r="AS39" s="65">
        <f>$AE39*(1+'CIL Mgmt Assumptions'!$F$36)</f>
        <v>9920.2320000000018</v>
      </c>
      <c r="AT39" s="65">
        <f>$AE39*(1+'CIL Mgmt Assumptions'!$F$36)</f>
        <v>9920.2320000000018</v>
      </c>
      <c r="AU39" s="65">
        <f>$AE39*(1+'CIL Mgmt Assumptions'!$F$36)</f>
        <v>9920.2320000000018</v>
      </c>
      <c r="AV39" s="65">
        <f>$AE39*(1+'CIL Mgmt Assumptions'!$F$36)</f>
        <v>9920.2320000000018</v>
      </c>
      <c r="AW39" s="65">
        <f>$AE39*(1+'CIL Mgmt Assumptions'!$F$36)</f>
        <v>9920.2320000000018</v>
      </c>
      <c r="AX39" s="65">
        <f>$AE39*(1+'CIL Mgmt Assumptions'!$F$36)</f>
        <v>9920.2320000000018</v>
      </c>
      <c r="AY39" s="65">
        <f>$AE39*(1+'CIL Mgmt Assumptions'!$F$36)</f>
        <v>9920.2320000000018</v>
      </c>
      <c r="AZ39" s="65">
        <f>$AE39*(1+'CIL Mgmt Assumptions'!$F$36)</f>
        <v>9920.2320000000018</v>
      </c>
      <c r="BA39" s="59">
        <f t="shared" si="20"/>
        <v>119042.78400000003</v>
      </c>
      <c r="BB39" s="172">
        <f>BA39*(1+'CIL Mgmt Assumptions'!$G$36)</f>
        <v>128566.20672000005</v>
      </c>
    </row>
    <row r="40" spans="1:54" x14ac:dyDescent="0.2">
      <c r="A40" s="67" t="s">
        <v>268</v>
      </c>
      <c r="B40" s="65">
        <f>(B35+B36+B37)*'CIL Mgmt Assumptions'!$B$42</f>
        <v>2204.166666666667</v>
      </c>
      <c r="C40" s="65">
        <f>(C35+C36+C37)*'CIL Mgmt Assumptions'!$B$42</f>
        <v>2204.166666666667</v>
      </c>
      <c r="D40" s="65">
        <f>(D35+D36+D37)*'CIL Mgmt Assumptions'!$B$42</f>
        <v>2204.166666666667</v>
      </c>
      <c r="E40" s="65">
        <f>(E35+E36+E37)*'CIL Mgmt Assumptions'!$B$42</f>
        <v>2204.166666666667</v>
      </c>
      <c r="F40" s="65">
        <f>(F35+F36+F37)*'CIL Mgmt Assumptions'!$B$42</f>
        <v>2204.166666666667</v>
      </c>
      <c r="G40" s="65">
        <f>(G35+G36+G37)*'CIL Mgmt Assumptions'!$B$42</f>
        <v>2375.8333333333335</v>
      </c>
      <c r="H40" s="65">
        <f>(H35+H36+H37)*'CIL Mgmt Assumptions'!$B$42</f>
        <v>2375.8333333333335</v>
      </c>
      <c r="I40" s="65">
        <f>(I35+I36+I37)*'CIL Mgmt Assumptions'!$B$42</f>
        <v>2375.8333333333335</v>
      </c>
      <c r="J40" s="65">
        <f>(J35+J36+J37)*'CIL Mgmt Assumptions'!$B$42</f>
        <v>2375.8333333333335</v>
      </c>
      <c r="K40" s="65">
        <f>(K35+K36+K37)*'CIL Mgmt Assumptions'!$B$42</f>
        <v>2375.8333333333335</v>
      </c>
      <c r="L40" s="65">
        <f>(L35+L36+L37)*'CIL Mgmt Assumptions'!$B$42</f>
        <v>2375.8333333333335</v>
      </c>
      <c r="M40" s="65">
        <f>(M35+M36+M37)*'CIL Mgmt Assumptions'!$B$42</f>
        <v>2375.8333333333335</v>
      </c>
      <c r="N40" s="156">
        <f t="shared" si="18"/>
        <v>27651.666666666664</v>
      </c>
      <c r="O40" s="65">
        <f>(O35+O36+O37)*'CIL Mgmt Assumptions'!$B$42</f>
        <v>2447.1083333333336</v>
      </c>
      <c r="P40" s="65">
        <f>(P35+P36+P37)*'CIL Mgmt Assumptions'!$B$42</f>
        <v>2447.1083333333336</v>
      </c>
      <c r="Q40" s="65">
        <f>(Q35+Q36+Q37)*'CIL Mgmt Assumptions'!$B$42</f>
        <v>2447.1083333333336</v>
      </c>
      <c r="R40" s="65">
        <f>(R35+R36+R37)*'CIL Mgmt Assumptions'!$B$42</f>
        <v>2447.1083333333336</v>
      </c>
      <c r="S40" s="65">
        <f>(S35+S36+S37)*'CIL Mgmt Assumptions'!$B$42</f>
        <v>2447.1083333333336</v>
      </c>
      <c r="T40" s="65">
        <f>(T35+T36+T37)*'CIL Mgmt Assumptions'!$B$42</f>
        <v>2447.1083333333336</v>
      </c>
      <c r="U40" s="65">
        <f>(U35+U36+U37)*'CIL Mgmt Assumptions'!$B$42</f>
        <v>2447.1083333333336</v>
      </c>
      <c r="V40" s="65">
        <f>(V35+V36+V37)*'CIL Mgmt Assumptions'!$B$42</f>
        <v>2447.1083333333336</v>
      </c>
      <c r="W40" s="65">
        <f>(W35+W36+W37)*'CIL Mgmt Assumptions'!$B$42</f>
        <v>2447.1083333333336</v>
      </c>
      <c r="X40" s="65">
        <f>(X35+X36+X37)*'CIL Mgmt Assumptions'!$B$42</f>
        <v>2447.1083333333336</v>
      </c>
      <c r="Y40" s="65">
        <f>(Y35+Y36+Y37)*'CIL Mgmt Assumptions'!$B$42</f>
        <v>2447.1083333333336</v>
      </c>
      <c r="Z40" s="65">
        <f>(Z35+Z36+Z37)*'CIL Mgmt Assumptions'!$B$42</f>
        <v>2447.1083333333336</v>
      </c>
      <c r="AA40" s="59">
        <f t="shared" si="19"/>
        <v>29365.300000000003</v>
      </c>
      <c r="AB40" s="65">
        <f>(AB35+AB36+AB37)*'CIL Mgmt Assumptions'!$B$42</f>
        <v>2520.5215833333336</v>
      </c>
      <c r="AC40" s="65">
        <f>(AC35+AC36+AC37)*'CIL Mgmt Assumptions'!$B$42</f>
        <v>2520.5215833333336</v>
      </c>
      <c r="AD40" s="65">
        <f>(AD35+AD36+AD37)*'CIL Mgmt Assumptions'!$B$42</f>
        <v>2520.5215833333336</v>
      </c>
      <c r="AE40" s="65">
        <f>(AE35+AE36+AE37)*'CIL Mgmt Assumptions'!$B$42</f>
        <v>2520.5215833333336</v>
      </c>
      <c r="AF40" s="65">
        <f>(AF35+AF36+AF37)*'CIL Mgmt Assumptions'!$B$42</f>
        <v>2520.5215833333336</v>
      </c>
      <c r="AG40" s="65">
        <f>(AG35+AG36+AG37)*'CIL Mgmt Assumptions'!$B$42</f>
        <v>2520.5215833333336</v>
      </c>
      <c r="AH40" s="65">
        <f>(AH35+AH36+AH37)*'CIL Mgmt Assumptions'!$B$42</f>
        <v>2520.5215833333336</v>
      </c>
      <c r="AI40" s="65">
        <f>(AI35+AI36+AI37)*'CIL Mgmt Assumptions'!$B$42</f>
        <v>2520.5215833333336</v>
      </c>
      <c r="AJ40" s="65">
        <f>(AJ35+AJ36+AJ37)*'CIL Mgmt Assumptions'!$B$42</f>
        <v>2520.5215833333336</v>
      </c>
      <c r="AK40" s="65">
        <f>(AK35+AK36+AK37)*'CIL Mgmt Assumptions'!$B$42</f>
        <v>2520.5215833333336</v>
      </c>
      <c r="AL40" s="65">
        <f>(AL35+AL36+AL37)*'CIL Mgmt Assumptions'!$B$42</f>
        <v>2520.5215833333336</v>
      </c>
      <c r="AM40" s="65">
        <f>(AM35+AM36+AM37)*'CIL Mgmt Assumptions'!$B$42</f>
        <v>2520.5215833333336</v>
      </c>
      <c r="AN40" s="172">
        <f t="shared" si="21"/>
        <v>30246.259000000009</v>
      </c>
      <c r="AO40" s="65">
        <f>(AO35+AO36+AO37)*'CIL Mgmt Assumptions'!$B$42</f>
        <v>2596.1372308333334</v>
      </c>
      <c r="AP40" s="65">
        <f>(AP35+AP36+AP37)*'CIL Mgmt Assumptions'!$B$42</f>
        <v>2596.1372308333334</v>
      </c>
      <c r="AQ40" s="65">
        <f>(AQ35+AQ36+AQ37)*'CIL Mgmt Assumptions'!$B$42</f>
        <v>2596.1372308333334</v>
      </c>
      <c r="AR40" s="65">
        <f>(AR35+AR36+AR37)*'CIL Mgmt Assumptions'!$B$42</f>
        <v>2596.1372308333334</v>
      </c>
      <c r="AS40" s="65">
        <f>(AS35+AS36+AS37)*'CIL Mgmt Assumptions'!$B$42</f>
        <v>2596.1372308333334</v>
      </c>
      <c r="AT40" s="65">
        <f>(AT35+AT36+AT37)*'CIL Mgmt Assumptions'!$B$42</f>
        <v>2596.1372308333334</v>
      </c>
      <c r="AU40" s="65">
        <f>(AU35+AU36+AU37)*'CIL Mgmt Assumptions'!$B$42</f>
        <v>2596.1372308333334</v>
      </c>
      <c r="AV40" s="65">
        <f>(AV35+AV36+AV37)*'CIL Mgmt Assumptions'!$B$42</f>
        <v>2596.1372308333334</v>
      </c>
      <c r="AW40" s="65">
        <f>(AW35+AW36+AW37)*'CIL Mgmt Assumptions'!$B$42</f>
        <v>2596.1372308333334</v>
      </c>
      <c r="AX40" s="65">
        <f>(AX35+AX36+AX37)*'CIL Mgmt Assumptions'!$B$42</f>
        <v>2596.1372308333334</v>
      </c>
      <c r="AY40" s="65">
        <f>(AY35+AY36+AY37)*'CIL Mgmt Assumptions'!$B$42</f>
        <v>2596.1372308333334</v>
      </c>
      <c r="AZ40" s="65">
        <f>(AZ35+AZ36+AZ37)*'CIL Mgmt Assumptions'!$B$42</f>
        <v>2596.1372308333334</v>
      </c>
      <c r="BA40" s="59">
        <f t="shared" si="20"/>
        <v>31153.646770000003</v>
      </c>
      <c r="BB40" s="172">
        <f>(BB35+BB36+BB37)*'CIL Mgmt Assumptions'!$B$42</f>
        <v>33317.246229999997</v>
      </c>
    </row>
    <row r="41" spans="1:54" x14ac:dyDescent="0.2">
      <c r="A41" s="67" t="s">
        <v>199</v>
      </c>
      <c r="B41" s="65">
        <f>(Headcount!$F249*Headcount!$E$249+Headcount!$F250*Headcount!$E$250+Headcount!$F251*Headcount!$E$251+Headcount!$F252*Headcount!$E$252)/100/12</f>
        <v>723.05555555555566</v>
      </c>
      <c r="C41" s="65">
        <f>(Headcount!$F249*Headcount!$E$249+Headcount!$F250*Headcount!$E$250+Headcount!$F251*Headcount!$E$251+Headcount!$F252*Headcount!$E$252)/100/12</f>
        <v>723.05555555555566</v>
      </c>
      <c r="D41" s="65">
        <f>(Headcount!$F249*Headcount!$E$249+Headcount!$F250*Headcount!$E$250+Headcount!$F251*Headcount!$E$251+Headcount!$F252*Headcount!$E$252)/100/12</f>
        <v>723.05555555555566</v>
      </c>
      <c r="E41" s="65">
        <f>(Headcount!$F249*Headcount!$E$249+Headcount!$F250*Headcount!$E$250+Headcount!$F251*Headcount!$E$251+Headcount!$F252*Headcount!$E$252)/100/12</f>
        <v>723.05555555555566</v>
      </c>
      <c r="F41" s="65">
        <f>(Headcount!$F249*Headcount!$E$249+Headcount!$F250*Headcount!$E$250+Headcount!$F251*Headcount!$E$251+Headcount!$F252*Headcount!$E$252)/100/12</f>
        <v>723.05555555555566</v>
      </c>
      <c r="G41" s="65">
        <f>(Headcount!$F249*Headcount!$E$249+Headcount!$F250*Headcount!$E$250+Headcount!$F251*Headcount!$E$251+Headcount!$F252*Headcount!$E$252)/100/12</f>
        <v>723.05555555555566</v>
      </c>
      <c r="H41" s="65">
        <f>(Headcount!$F249*Headcount!$E$249+Headcount!$F250*Headcount!$E$250+Headcount!$F251*Headcount!$E$251+Headcount!$F252*Headcount!$E$252)/100/12</f>
        <v>723.05555555555566</v>
      </c>
      <c r="I41" s="65">
        <f>(Headcount!$F249*Headcount!$E$249+Headcount!$F250*Headcount!$E$250+Headcount!$F251*Headcount!$E$251+Headcount!$F252*Headcount!$E$252)/100/12</f>
        <v>723.05555555555566</v>
      </c>
      <c r="J41" s="65">
        <f>(Headcount!$F249*Headcount!$E$249+Headcount!$F250*Headcount!$E$250+Headcount!$F251*Headcount!$E$251+Headcount!$F252*Headcount!$E$252)/100/12</f>
        <v>723.05555555555566</v>
      </c>
      <c r="K41" s="65">
        <f>(Headcount!$F249*Headcount!$E$249+Headcount!$F250*Headcount!$E$250+Headcount!$F251*Headcount!$E$251+Headcount!$F252*Headcount!$E$252)/100/12</f>
        <v>723.05555555555566</v>
      </c>
      <c r="L41" s="65">
        <f>(Headcount!$F249*Headcount!$E$249+Headcount!$F250*Headcount!$E$250+Headcount!$F251*Headcount!$E$251+Headcount!$F252*Headcount!$E$252)/100/12</f>
        <v>723.05555555555566</v>
      </c>
      <c r="M41" s="65">
        <f>(Headcount!$F249*Headcount!$E$249+Headcount!$F250*Headcount!$E$250+Headcount!$F251*Headcount!$E$251+Headcount!$F252*Headcount!$E$252)/100/12</f>
        <v>723.05555555555566</v>
      </c>
      <c r="N41" s="156">
        <f t="shared" si="18"/>
        <v>8676.6666666666679</v>
      </c>
      <c r="O41" s="65">
        <f>$M41*(1+'CIL Mgmt Assumptions'!$D$46)</f>
        <v>759.20833333333348</v>
      </c>
      <c r="P41" s="65">
        <f>$M41*(1+'CIL Mgmt Assumptions'!$D$46)</f>
        <v>759.20833333333348</v>
      </c>
      <c r="Q41" s="65">
        <f>$M41*(1+'CIL Mgmt Assumptions'!$D$46)</f>
        <v>759.20833333333348</v>
      </c>
      <c r="R41" s="65">
        <f>$M41*(1+'CIL Mgmt Assumptions'!$D$46)</f>
        <v>759.20833333333348</v>
      </c>
      <c r="S41" s="65">
        <f>$M41*(1+'CIL Mgmt Assumptions'!$D$46)</f>
        <v>759.20833333333348</v>
      </c>
      <c r="T41" s="65">
        <f>$M41*(1+'CIL Mgmt Assumptions'!$D$46)</f>
        <v>759.20833333333348</v>
      </c>
      <c r="U41" s="65">
        <f>$M41*(1+'CIL Mgmt Assumptions'!$D$46)</f>
        <v>759.20833333333348</v>
      </c>
      <c r="V41" s="65">
        <f>$M41*(1+'CIL Mgmt Assumptions'!$D$46)</f>
        <v>759.20833333333348</v>
      </c>
      <c r="W41" s="65">
        <f>$M41*(1+'CIL Mgmt Assumptions'!$D$46)</f>
        <v>759.20833333333348</v>
      </c>
      <c r="X41" s="65">
        <f>$M41*(1+'CIL Mgmt Assumptions'!$D$46)</f>
        <v>759.20833333333348</v>
      </c>
      <c r="Y41" s="65">
        <f>$M41*(1+'CIL Mgmt Assumptions'!$D$46)</f>
        <v>759.20833333333348</v>
      </c>
      <c r="Z41" s="65">
        <f>$M41*(1+'CIL Mgmt Assumptions'!$D$46)</f>
        <v>759.20833333333348</v>
      </c>
      <c r="AA41" s="59">
        <f t="shared" si="19"/>
        <v>9110.5000000000036</v>
      </c>
      <c r="AB41" s="65">
        <f>$Z41*(1+'CIL Mgmt Assumptions'!$E$46)</f>
        <v>797.16875000000016</v>
      </c>
      <c r="AC41" s="65">
        <f>$Z41*(1+'CIL Mgmt Assumptions'!$E$46)</f>
        <v>797.16875000000016</v>
      </c>
      <c r="AD41" s="65">
        <f>$Z41*(1+'CIL Mgmt Assumptions'!$E$46)</f>
        <v>797.16875000000016</v>
      </c>
      <c r="AE41" s="65">
        <f>$Z41*(1+'CIL Mgmt Assumptions'!$E$46)</f>
        <v>797.16875000000016</v>
      </c>
      <c r="AF41" s="65">
        <f>$Z41*(1+'CIL Mgmt Assumptions'!$E$46)</f>
        <v>797.16875000000016</v>
      </c>
      <c r="AG41" s="65">
        <f>$Z41*(1+'CIL Mgmt Assumptions'!$E$46)</f>
        <v>797.16875000000016</v>
      </c>
      <c r="AH41" s="65">
        <f>$Z41*(1+'CIL Mgmt Assumptions'!$E$46)</f>
        <v>797.16875000000016</v>
      </c>
      <c r="AI41" s="65">
        <f>$Z41*(1+'CIL Mgmt Assumptions'!$E$46)</f>
        <v>797.16875000000016</v>
      </c>
      <c r="AJ41" s="65">
        <f>$Z41*(1+'CIL Mgmt Assumptions'!$E$46)</f>
        <v>797.16875000000016</v>
      </c>
      <c r="AK41" s="65">
        <f>$Z41*(1+'CIL Mgmt Assumptions'!$E$46)</f>
        <v>797.16875000000016</v>
      </c>
      <c r="AL41" s="65">
        <f>$Z41*(1+'CIL Mgmt Assumptions'!$E$46)</f>
        <v>797.16875000000016</v>
      </c>
      <c r="AM41" s="65">
        <f>$Z41*(1+'CIL Mgmt Assumptions'!$E$46)</f>
        <v>797.16875000000016</v>
      </c>
      <c r="AN41" s="172">
        <f t="shared" si="21"/>
        <v>9566.0250000000015</v>
      </c>
      <c r="AO41" s="65">
        <f>$AE41*(1+'CIL Mgmt Assumptions'!$F$46)</f>
        <v>837.0271875000002</v>
      </c>
      <c r="AP41" s="65">
        <f>$AE41*(1+'CIL Mgmt Assumptions'!$F$46)</f>
        <v>837.0271875000002</v>
      </c>
      <c r="AQ41" s="65">
        <f>$AE41*(1+'CIL Mgmt Assumptions'!$F$46)</f>
        <v>837.0271875000002</v>
      </c>
      <c r="AR41" s="65">
        <f>$AE41*(1+'CIL Mgmt Assumptions'!$F$46)</f>
        <v>837.0271875000002</v>
      </c>
      <c r="AS41" s="65">
        <f>$AE41*(1+'CIL Mgmt Assumptions'!$F$46)</f>
        <v>837.0271875000002</v>
      </c>
      <c r="AT41" s="65">
        <f>$AE41*(1+'CIL Mgmt Assumptions'!$F$46)</f>
        <v>837.0271875000002</v>
      </c>
      <c r="AU41" s="65">
        <f>$AE41*(1+'CIL Mgmt Assumptions'!$F$46)</f>
        <v>837.0271875000002</v>
      </c>
      <c r="AV41" s="65">
        <f>$AE41*(1+'CIL Mgmt Assumptions'!$F$46)</f>
        <v>837.0271875000002</v>
      </c>
      <c r="AW41" s="65">
        <f>$AE41*(1+'CIL Mgmt Assumptions'!$F$46)</f>
        <v>837.0271875000002</v>
      </c>
      <c r="AX41" s="65">
        <f>$AE41*(1+'CIL Mgmt Assumptions'!$F$46)</f>
        <v>837.0271875000002</v>
      </c>
      <c r="AY41" s="65">
        <f>$AE41*(1+'CIL Mgmt Assumptions'!$F$46)</f>
        <v>837.0271875000002</v>
      </c>
      <c r="AZ41" s="65">
        <f>$AE41*(1+'CIL Mgmt Assumptions'!$F$46)</f>
        <v>837.0271875000002</v>
      </c>
      <c r="BA41" s="59">
        <f t="shared" si="20"/>
        <v>10044.32625</v>
      </c>
      <c r="BB41" s="172">
        <f>BA41*(1+'CIL Mgmt Assumptions'!$G$46)</f>
        <v>10546.542562500001</v>
      </c>
    </row>
    <row r="42" spans="1:54" x14ac:dyDescent="0.2">
      <c r="A42" s="67" t="s">
        <v>273</v>
      </c>
      <c r="B42" s="65">
        <f>'FSS 805 Assumptions'!$B$51</f>
        <v>500</v>
      </c>
      <c r="C42" s="65">
        <f>'FSS 805 Assumptions'!$B$51</f>
        <v>500</v>
      </c>
      <c r="D42" s="65">
        <f>'FSS 805 Assumptions'!$B$51</f>
        <v>500</v>
      </c>
      <c r="E42" s="65">
        <f>'FSS 805 Assumptions'!$B$51</f>
        <v>500</v>
      </c>
      <c r="F42" s="65">
        <f>'FSS 805 Assumptions'!$B$51</f>
        <v>500</v>
      </c>
      <c r="G42" s="65">
        <f>'FSS 805 Assumptions'!$B$51</f>
        <v>500</v>
      </c>
      <c r="H42" s="65">
        <f>'FSS 805 Assumptions'!$B$51</f>
        <v>500</v>
      </c>
      <c r="I42" s="65">
        <f>'FSS 805 Assumptions'!$B$51</f>
        <v>500</v>
      </c>
      <c r="J42" s="65">
        <f>'FSS 805 Assumptions'!$B$51</f>
        <v>500</v>
      </c>
      <c r="K42" s="65">
        <f>'FSS 805 Assumptions'!$B$51</f>
        <v>500</v>
      </c>
      <c r="L42" s="65">
        <f>'FSS 805 Assumptions'!$B$51</f>
        <v>500</v>
      </c>
      <c r="M42" s="65">
        <f>'FSS 805 Assumptions'!$B$51</f>
        <v>500</v>
      </c>
      <c r="N42" s="156">
        <f>SUM(B42:M42)</f>
        <v>6000</v>
      </c>
      <c r="O42" s="65">
        <f>$M42*(1+'FSS 805 Assumptions'!$D$51)</f>
        <v>515</v>
      </c>
      <c r="P42" s="65">
        <f>$M42*(1+'FSS 805 Assumptions'!$D$51)</f>
        <v>515</v>
      </c>
      <c r="Q42" s="65">
        <f>$M42*(1+'FSS 805 Assumptions'!$D$51)</f>
        <v>515</v>
      </c>
      <c r="R42" s="65">
        <f>$M42*(1+'FSS 805 Assumptions'!$D$51)</f>
        <v>515</v>
      </c>
      <c r="S42" s="65">
        <f>$M42*(1+'FSS 805 Assumptions'!$D$51)</f>
        <v>515</v>
      </c>
      <c r="T42" s="65">
        <f>$M42*(1+'FSS 805 Assumptions'!$D$51)</f>
        <v>515</v>
      </c>
      <c r="U42" s="65">
        <f>$M42*(1+'FSS 805 Assumptions'!$D$51)</f>
        <v>515</v>
      </c>
      <c r="V42" s="65">
        <f>$M42*(1+'FSS 805 Assumptions'!$D$51)</f>
        <v>515</v>
      </c>
      <c r="W42" s="65">
        <f>$M42*(1+'FSS 805 Assumptions'!$D$51)</f>
        <v>515</v>
      </c>
      <c r="X42" s="65">
        <f>$M42*(1+'FSS 805 Assumptions'!$D$51)</f>
        <v>515</v>
      </c>
      <c r="Y42" s="65">
        <f>$M42*(1+'FSS 805 Assumptions'!$D$51)</f>
        <v>515</v>
      </c>
      <c r="Z42" s="65">
        <f>$M42*(1+'FSS 805 Assumptions'!$D$51)</f>
        <v>515</v>
      </c>
      <c r="AA42" s="59">
        <f t="shared" si="19"/>
        <v>6180</v>
      </c>
      <c r="AB42" s="65">
        <f>$Z42*(1+'FSS 805 Assumptions'!$E$51)</f>
        <v>530.45000000000005</v>
      </c>
      <c r="AC42" s="65">
        <f>$Z42*(1+'FSS 805 Assumptions'!$E$51)</f>
        <v>530.45000000000005</v>
      </c>
      <c r="AD42" s="65">
        <f>$Z42*(1+'FSS 805 Assumptions'!$E$51)</f>
        <v>530.45000000000005</v>
      </c>
      <c r="AE42" s="65">
        <f>$Z42*(1+'FSS 805 Assumptions'!$E$51)</f>
        <v>530.45000000000005</v>
      </c>
      <c r="AF42" s="65">
        <f>$Z42*(1+'FSS 805 Assumptions'!$E$51)</f>
        <v>530.45000000000005</v>
      </c>
      <c r="AG42" s="65">
        <f>$Z42*(1+'FSS 805 Assumptions'!$E$51)</f>
        <v>530.45000000000005</v>
      </c>
      <c r="AH42" s="65">
        <f>$Z42*(1+'FSS 805 Assumptions'!$E$51)</f>
        <v>530.45000000000005</v>
      </c>
      <c r="AI42" s="65">
        <f>$Z42*(1+'FSS 805 Assumptions'!$E$51)</f>
        <v>530.45000000000005</v>
      </c>
      <c r="AJ42" s="65">
        <f>$Z42*(1+'FSS 805 Assumptions'!$E$51)</f>
        <v>530.45000000000005</v>
      </c>
      <c r="AK42" s="65">
        <f>$Z42*(1+'FSS 805 Assumptions'!$E$51)</f>
        <v>530.45000000000005</v>
      </c>
      <c r="AL42" s="65">
        <f>$Z42*(1+'FSS 805 Assumptions'!$E$51)</f>
        <v>530.45000000000005</v>
      </c>
      <c r="AM42" s="65">
        <f>$Z42*(1+'FSS 805 Assumptions'!$E$51)</f>
        <v>530.45000000000005</v>
      </c>
      <c r="AN42" s="172">
        <f t="shared" si="21"/>
        <v>6365.3999999999987</v>
      </c>
      <c r="AO42" s="65">
        <f>$AM42*(1+'FSS 805 Assumptions'!$F51)</f>
        <v>546.36350000000004</v>
      </c>
      <c r="AP42" s="65">
        <f>$AM42*(1+'FSS 805 Assumptions'!$F51)</f>
        <v>546.36350000000004</v>
      </c>
      <c r="AQ42" s="65">
        <f>$AM42*(1+'FSS 805 Assumptions'!$F51)</f>
        <v>546.36350000000004</v>
      </c>
      <c r="AR42" s="65">
        <f>$AM42*(1+'FSS 805 Assumptions'!$F51)</f>
        <v>546.36350000000004</v>
      </c>
      <c r="AS42" s="65">
        <f>$AM42*(1+'FSS 805 Assumptions'!$F51)</f>
        <v>546.36350000000004</v>
      </c>
      <c r="AT42" s="65">
        <f>$AM42*(1+'FSS 805 Assumptions'!$F51)</f>
        <v>546.36350000000004</v>
      </c>
      <c r="AU42" s="65">
        <f>$AM42*(1+'FSS 805 Assumptions'!$F51)</f>
        <v>546.36350000000004</v>
      </c>
      <c r="AV42" s="65">
        <f>$AM42*(1+'FSS 805 Assumptions'!$F51)</f>
        <v>546.36350000000004</v>
      </c>
      <c r="AW42" s="65">
        <f>$AM42*(1+'FSS 805 Assumptions'!$F51)</f>
        <v>546.36350000000004</v>
      </c>
      <c r="AX42" s="65">
        <f>$AM42*(1+'FSS 805 Assumptions'!$F51)</f>
        <v>546.36350000000004</v>
      </c>
      <c r="AY42" s="65">
        <f>$AM42*(1+'FSS 805 Assumptions'!$F51)</f>
        <v>546.36350000000004</v>
      </c>
      <c r="AZ42" s="65">
        <f>$AM42*(1+'FSS 805 Assumptions'!$F51)</f>
        <v>546.36350000000004</v>
      </c>
      <c r="BA42" s="59">
        <f t="shared" si="20"/>
        <v>6556.3620000000019</v>
      </c>
      <c r="BB42" s="172">
        <f>BA42*(1+'FSS 805 Assumptions'!G51)</f>
        <v>6753.0528600000025</v>
      </c>
    </row>
    <row r="43" spans="1:54" x14ac:dyDescent="0.2">
      <c r="A43" s="67" t="s">
        <v>438</v>
      </c>
      <c r="B43" s="65">
        <f>'FSS 805 Assumptions'!$B$52</f>
        <v>400</v>
      </c>
      <c r="C43" s="65">
        <f>'FSS 805 Assumptions'!$B$52</f>
        <v>400</v>
      </c>
      <c r="D43" s="65">
        <f>'FSS 805 Assumptions'!$B$52</f>
        <v>400</v>
      </c>
      <c r="E43" s="65">
        <f>'FSS 805 Assumptions'!$B$52</f>
        <v>400</v>
      </c>
      <c r="F43" s="65">
        <f>'FSS 805 Assumptions'!$B$52</f>
        <v>400</v>
      </c>
      <c r="G43" s="65">
        <f>'FSS 805 Assumptions'!$B$52</f>
        <v>400</v>
      </c>
      <c r="H43" s="65">
        <f>'FSS 805 Assumptions'!$B$52</f>
        <v>400</v>
      </c>
      <c r="I43" s="65">
        <f>'FSS 805 Assumptions'!$B$52</f>
        <v>400</v>
      </c>
      <c r="J43" s="65">
        <f>'FSS 805 Assumptions'!$B$52</f>
        <v>400</v>
      </c>
      <c r="K43" s="65">
        <f>'FSS 805 Assumptions'!$B$52</f>
        <v>400</v>
      </c>
      <c r="L43" s="65">
        <f>'FSS 805 Assumptions'!$B$52</f>
        <v>400</v>
      </c>
      <c r="M43" s="65">
        <f>'FSS 805 Assumptions'!$B$52</f>
        <v>400</v>
      </c>
      <c r="N43" s="156">
        <f>SUM(B43:M43)</f>
        <v>4800</v>
      </c>
      <c r="O43" s="65">
        <f>$M43*(1+'FSS 805 Assumptions'!$D$52)</f>
        <v>400</v>
      </c>
      <c r="P43" s="65">
        <f>$M43*(1+'FSS 805 Assumptions'!$D$52)</f>
        <v>400</v>
      </c>
      <c r="Q43" s="65">
        <f>$M43*(1+'FSS 805 Assumptions'!$D$52)</f>
        <v>400</v>
      </c>
      <c r="R43" s="65">
        <f>$M43*(1+'FSS 805 Assumptions'!$D$52)</f>
        <v>400</v>
      </c>
      <c r="S43" s="65">
        <f>$M43*(1+'FSS 805 Assumptions'!$D$52)</f>
        <v>400</v>
      </c>
      <c r="T43" s="65">
        <f>$M43*(1+'FSS 805 Assumptions'!$D$52)</f>
        <v>400</v>
      </c>
      <c r="U43" s="65">
        <f>$M43*(1+'FSS 805 Assumptions'!$D$52)</f>
        <v>400</v>
      </c>
      <c r="V43" s="65">
        <f>$M43*(1+'FSS 805 Assumptions'!$D$52)</f>
        <v>400</v>
      </c>
      <c r="W43" s="65">
        <f>$M43*(1+'FSS 805 Assumptions'!$D$52)</f>
        <v>400</v>
      </c>
      <c r="X43" s="65">
        <f>$M43*(1+'FSS 805 Assumptions'!$D$52)</f>
        <v>400</v>
      </c>
      <c r="Y43" s="65">
        <f>$M43*(1+'FSS 805 Assumptions'!$D$52)</f>
        <v>400</v>
      </c>
      <c r="Z43" s="65">
        <f>$M43*(1+'FSS 805 Assumptions'!$D$52)</f>
        <v>400</v>
      </c>
      <c r="AA43" s="59">
        <f t="shared" si="19"/>
        <v>4800</v>
      </c>
      <c r="AB43" s="65">
        <f>$Z43*(1+'FSS 805 Assumptions'!$E$52)</f>
        <v>400</v>
      </c>
      <c r="AC43" s="65">
        <f>$Z43*(1+'FSS 805 Assumptions'!$E$52)</f>
        <v>400</v>
      </c>
      <c r="AD43" s="65">
        <f>$Z43*(1+'FSS 805 Assumptions'!$E$52)</f>
        <v>400</v>
      </c>
      <c r="AE43" s="65">
        <f>$Z43*(1+'FSS 805 Assumptions'!$E$52)</f>
        <v>400</v>
      </c>
      <c r="AF43" s="65">
        <f>$Z43*(1+'FSS 805 Assumptions'!$E$52)</f>
        <v>400</v>
      </c>
      <c r="AG43" s="65">
        <f>$Z43*(1+'FSS 805 Assumptions'!$E$52)</f>
        <v>400</v>
      </c>
      <c r="AH43" s="65">
        <f>$Z43*(1+'FSS 805 Assumptions'!$E$52)</f>
        <v>400</v>
      </c>
      <c r="AI43" s="65">
        <f>$Z43*(1+'FSS 805 Assumptions'!$E$52)</f>
        <v>400</v>
      </c>
      <c r="AJ43" s="65">
        <f>$Z43*(1+'FSS 805 Assumptions'!$E$52)</f>
        <v>400</v>
      </c>
      <c r="AK43" s="65">
        <f>$Z43*(1+'FSS 805 Assumptions'!$E$52)</f>
        <v>400</v>
      </c>
      <c r="AL43" s="65">
        <f>$Z43*(1+'FSS 805 Assumptions'!$E$52)</f>
        <v>400</v>
      </c>
      <c r="AM43" s="65">
        <f>$Z43*(1+'FSS 805 Assumptions'!$E$52)</f>
        <v>400</v>
      </c>
      <c r="AN43" s="172">
        <f t="shared" ref="AN43" si="22">SUM(AB43:AM43)</f>
        <v>4800</v>
      </c>
      <c r="AO43" s="65">
        <f>$AM43*(1+'FSS 805 Assumptions'!$F52)</f>
        <v>400</v>
      </c>
      <c r="AP43" s="65">
        <f>$AM43*(1+'FSS 805 Assumptions'!$F52)</f>
        <v>400</v>
      </c>
      <c r="AQ43" s="65">
        <f>$AM43*(1+'FSS 805 Assumptions'!$F52)</f>
        <v>400</v>
      </c>
      <c r="AR43" s="65">
        <f>$AM43*(1+'FSS 805 Assumptions'!$F52)</f>
        <v>400</v>
      </c>
      <c r="AS43" s="65">
        <f>$AM43*(1+'FSS 805 Assumptions'!$F52)</f>
        <v>400</v>
      </c>
      <c r="AT43" s="65">
        <f>$AM43*(1+'FSS 805 Assumptions'!$F52)</f>
        <v>400</v>
      </c>
      <c r="AU43" s="65">
        <f>$AM43*(1+'FSS 805 Assumptions'!$F52)</f>
        <v>400</v>
      </c>
      <c r="AV43" s="65">
        <f>$AM43*(1+'FSS 805 Assumptions'!$F52)</f>
        <v>400</v>
      </c>
      <c r="AW43" s="65">
        <f>$AM43*(1+'FSS 805 Assumptions'!$F52)</f>
        <v>400</v>
      </c>
      <c r="AX43" s="65">
        <f>$AM43*(1+'FSS 805 Assumptions'!$F52)</f>
        <v>400</v>
      </c>
      <c r="AY43" s="65">
        <f>$AM43*(1+'FSS 805 Assumptions'!$F52)</f>
        <v>400</v>
      </c>
      <c r="AZ43" s="65">
        <f>$AM43*(1+'FSS 805 Assumptions'!$F52)</f>
        <v>400</v>
      </c>
      <c r="BA43" s="59">
        <f t="shared" si="20"/>
        <v>4800</v>
      </c>
      <c r="BB43" s="172">
        <f>BA43*(1+'FSS 805 Assumptions'!G52)</f>
        <v>4800</v>
      </c>
    </row>
    <row r="44" spans="1:54" x14ac:dyDescent="0.2">
      <c r="A44" s="62" t="s">
        <v>274</v>
      </c>
      <c r="B44" s="65">
        <f>'FSS 805 Assumptions'!$B$55</f>
        <v>500</v>
      </c>
      <c r="C44" s="65">
        <f>'FSS 805 Assumptions'!$B$55</f>
        <v>500</v>
      </c>
      <c r="D44" s="65">
        <f>'FSS 805 Assumptions'!$B$55</f>
        <v>500</v>
      </c>
      <c r="E44" s="65">
        <f>'FSS 805 Assumptions'!$B$55</f>
        <v>500</v>
      </c>
      <c r="F44" s="65">
        <f>'FSS 805 Assumptions'!$B$55</f>
        <v>500</v>
      </c>
      <c r="G44" s="65">
        <f>'FSS 805 Assumptions'!$B$55</f>
        <v>500</v>
      </c>
      <c r="H44" s="65">
        <f>'FSS 805 Assumptions'!$B$55</f>
        <v>500</v>
      </c>
      <c r="I44" s="65">
        <f>'FSS 805 Assumptions'!$B$55</f>
        <v>500</v>
      </c>
      <c r="J44" s="65">
        <f>'FSS 805 Assumptions'!$B$55</f>
        <v>500</v>
      </c>
      <c r="K44" s="65">
        <f>'FSS 805 Assumptions'!$B$55</f>
        <v>500</v>
      </c>
      <c r="L44" s="65">
        <f>'FSS 805 Assumptions'!$B$55</f>
        <v>500</v>
      </c>
      <c r="M44" s="65">
        <f>'FSS 805 Assumptions'!$B$55</f>
        <v>500</v>
      </c>
      <c r="N44" s="156">
        <f t="shared" si="18"/>
        <v>6000</v>
      </c>
      <c r="O44" s="65">
        <f>$M44*(1+'FSS 805 Assumptions'!$D$55)</f>
        <v>515</v>
      </c>
      <c r="P44" s="65">
        <f>$M44*(1+'FSS 805 Assumptions'!$D$55)</f>
        <v>515</v>
      </c>
      <c r="Q44" s="65">
        <f>$M44*(1+'FSS 805 Assumptions'!$D$55)</f>
        <v>515</v>
      </c>
      <c r="R44" s="65">
        <f>$M44*(1+'FSS 805 Assumptions'!$D$55)</f>
        <v>515</v>
      </c>
      <c r="S44" s="65">
        <f>$M44*(1+'FSS 805 Assumptions'!$D$55)</f>
        <v>515</v>
      </c>
      <c r="T44" s="65">
        <f>$M44*(1+'FSS 805 Assumptions'!$D$55)</f>
        <v>515</v>
      </c>
      <c r="U44" s="65">
        <f>$M44*(1+'FSS 805 Assumptions'!$D$55)</f>
        <v>515</v>
      </c>
      <c r="V44" s="65">
        <f>$M44*(1+'FSS 805 Assumptions'!$D$55)</f>
        <v>515</v>
      </c>
      <c r="W44" s="65">
        <f>$M44*(1+'FSS 805 Assumptions'!$D$55)</f>
        <v>515</v>
      </c>
      <c r="X44" s="65">
        <f>$M44*(1+'FSS 805 Assumptions'!$D$55)</f>
        <v>515</v>
      </c>
      <c r="Y44" s="65">
        <f>$M44*(1+'FSS 805 Assumptions'!$D$55)</f>
        <v>515</v>
      </c>
      <c r="Z44" s="65">
        <f>$M44*(1+'FSS 805 Assumptions'!$D$55)</f>
        <v>515</v>
      </c>
      <c r="AA44" s="59">
        <f t="shared" si="19"/>
        <v>6180</v>
      </c>
      <c r="AB44" s="65">
        <f>$Z44*(1+'FSS 805 Assumptions'!$E$55)</f>
        <v>530.45000000000005</v>
      </c>
      <c r="AC44" s="65">
        <f>$Z44*(1+'FSS 805 Assumptions'!$E$55)</f>
        <v>530.45000000000005</v>
      </c>
      <c r="AD44" s="65">
        <f>$Z44*(1+'FSS 805 Assumptions'!$E$55)</f>
        <v>530.45000000000005</v>
      </c>
      <c r="AE44" s="65">
        <f>$Z44*(1+'FSS 805 Assumptions'!$E$55)</f>
        <v>530.45000000000005</v>
      </c>
      <c r="AF44" s="65">
        <f>$Z44*(1+'FSS 805 Assumptions'!$E$55)</f>
        <v>530.45000000000005</v>
      </c>
      <c r="AG44" s="65">
        <f>$Z44*(1+'FSS 805 Assumptions'!$E$55)</f>
        <v>530.45000000000005</v>
      </c>
      <c r="AH44" s="65">
        <f>$Z44*(1+'FSS 805 Assumptions'!$E$55)</f>
        <v>530.45000000000005</v>
      </c>
      <c r="AI44" s="65">
        <f>$Z44*(1+'FSS 805 Assumptions'!$E$55)</f>
        <v>530.45000000000005</v>
      </c>
      <c r="AJ44" s="65">
        <f>$Z44*(1+'FSS 805 Assumptions'!$E$55)</f>
        <v>530.45000000000005</v>
      </c>
      <c r="AK44" s="65">
        <f>$Z44*(1+'FSS 805 Assumptions'!$E$55)</f>
        <v>530.45000000000005</v>
      </c>
      <c r="AL44" s="65">
        <f>$Z44*(1+'FSS 805 Assumptions'!$E$55)</f>
        <v>530.45000000000005</v>
      </c>
      <c r="AM44" s="65">
        <f>$Z44*(1+'FSS 805 Assumptions'!$E$55)</f>
        <v>530.45000000000005</v>
      </c>
      <c r="AN44" s="172">
        <f t="shared" si="21"/>
        <v>6365.3999999999987</v>
      </c>
      <c r="AO44" s="65">
        <f>$AM44*(1+'FSS 805 Assumptions'!$F55)</f>
        <v>546.36350000000004</v>
      </c>
      <c r="AP44" s="65">
        <f>$AM44*(1+'FSS 805 Assumptions'!$F55)</f>
        <v>546.36350000000004</v>
      </c>
      <c r="AQ44" s="65">
        <f>$AM44*(1+'FSS 805 Assumptions'!$F55)</f>
        <v>546.36350000000004</v>
      </c>
      <c r="AR44" s="65">
        <f>$AM44*(1+'FSS 805 Assumptions'!$F55)</f>
        <v>546.36350000000004</v>
      </c>
      <c r="AS44" s="65">
        <f>$AM44*(1+'FSS 805 Assumptions'!$F55)</f>
        <v>546.36350000000004</v>
      </c>
      <c r="AT44" s="65">
        <f>$AM44*(1+'FSS 805 Assumptions'!$F55)</f>
        <v>546.36350000000004</v>
      </c>
      <c r="AU44" s="65">
        <f>$AM44*(1+'FSS 805 Assumptions'!$F55)</f>
        <v>546.36350000000004</v>
      </c>
      <c r="AV44" s="65">
        <f>$AM44*(1+'FSS 805 Assumptions'!$F55)</f>
        <v>546.36350000000004</v>
      </c>
      <c r="AW44" s="65">
        <f>$AM44*(1+'FSS 805 Assumptions'!$F55)</f>
        <v>546.36350000000004</v>
      </c>
      <c r="AX44" s="65">
        <f>$AM44*(1+'FSS 805 Assumptions'!$F55)</f>
        <v>546.36350000000004</v>
      </c>
      <c r="AY44" s="65">
        <f>$AM44*(1+'FSS 805 Assumptions'!$F55)</f>
        <v>546.36350000000004</v>
      </c>
      <c r="AZ44" s="65">
        <f>$AM44*(1+'FSS 805 Assumptions'!$F55)</f>
        <v>546.36350000000004</v>
      </c>
      <c r="BA44" s="59">
        <f t="shared" si="20"/>
        <v>6556.3620000000019</v>
      </c>
      <c r="BB44" s="172">
        <f>BA44*(1+'FSS 805 Assumptions'!G55)</f>
        <v>6753.0528600000025</v>
      </c>
    </row>
    <row r="45" spans="1:54" x14ac:dyDescent="0.2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160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132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174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74"/>
      <c r="BB45" s="174"/>
    </row>
    <row r="46" spans="1:54" s="80" customFormat="1" collapsed="1" x14ac:dyDescent="0.2">
      <c r="A46" s="79" t="s">
        <v>224</v>
      </c>
      <c r="B46" s="81">
        <f t="shared" ref="B46:AG46" si="23">SUM(B35:B45)</f>
        <v>69952.368055555577</v>
      </c>
      <c r="C46" s="81">
        <f t="shared" si="23"/>
        <v>69952.368055555577</v>
      </c>
      <c r="D46" s="81">
        <f t="shared" si="23"/>
        <v>69952.368055555577</v>
      </c>
      <c r="E46" s="81">
        <f t="shared" si="23"/>
        <v>69952.368055555577</v>
      </c>
      <c r="F46" s="81">
        <f t="shared" si="23"/>
        <v>69952.368055555577</v>
      </c>
      <c r="G46" s="81">
        <f t="shared" si="23"/>
        <v>76319.443055555559</v>
      </c>
      <c r="H46" s="81">
        <f t="shared" si="23"/>
        <v>76319.443055555559</v>
      </c>
      <c r="I46" s="81">
        <f t="shared" si="23"/>
        <v>76319.443055555559</v>
      </c>
      <c r="J46" s="81">
        <f t="shared" si="23"/>
        <v>76319.443055555559</v>
      </c>
      <c r="K46" s="81">
        <f t="shared" si="23"/>
        <v>76319.443055555559</v>
      </c>
      <c r="L46" s="81">
        <f t="shared" si="23"/>
        <v>76319.443055555559</v>
      </c>
      <c r="M46" s="81">
        <f t="shared" si="23"/>
        <v>76319.443055555559</v>
      </c>
      <c r="N46" s="81">
        <f t="shared" si="23"/>
        <v>883997.94166666653</v>
      </c>
      <c r="O46" s="81">
        <f t="shared" si="23"/>
        <v>79005.237458333329</v>
      </c>
      <c r="P46" s="81">
        <f t="shared" si="23"/>
        <v>79005.237458333329</v>
      </c>
      <c r="Q46" s="81">
        <f t="shared" si="23"/>
        <v>79005.237458333329</v>
      </c>
      <c r="R46" s="81">
        <f t="shared" si="23"/>
        <v>79005.237458333329</v>
      </c>
      <c r="S46" s="81">
        <f t="shared" si="23"/>
        <v>79005.237458333329</v>
      </c>
      <c r="T46" s="81">
        <f t="shared" si="23"/>
        <v>79005.237458333329</v>
      </c>
      <c r="U46" s="81">
        <f t="shared" si="23"/>
        <v>79005.237458333329</v>
      </c>
      <c r="V46" s="81">
        <f t="shared" si="23"/>
        <v>79005.237458333329</v>
      </c>
      <c r="W46" s="81">
        <f t="shared" si="23"/>
        <v>79005.237458333329</v>
      </c>
      <c r="X46" s="81">
        <f t="shared" si="23"/>
        <v>79005.237458333329</v>
      </c>
      <c r="Y46" s="81">
        <f t="shared" si="23"/>
        <v>79005.237458333329</v>
      </c>
      <c r="Z46" s="81">
        <f t="shared" si="23"/>
        <v>79005.237458333329</v>
      </c>
      <c r="AA46" s="81">
        <f t="shared" si="23"/>
        <v>948062.84950000001</v>
      </c>
      <c r="AB46" s="81">
        <f t="shared" si="23"/>
        <v>81803.828748750006</v>
      </c>
      <c r="AC46" s="81">
        <f t="shared" si="23"/>
        <v>81803.828748750006</v>
      </c>
      <c r="AD46" s="81">
        <f t="shared" si="23"/>
        <v>81803.828748750006</v>
      </c>
      <c r="AE46" s="81">
        <f t="shared" si="23"/>
        <v>81803.828748750006</v>
      </c>
      <c r="AF46" s="81">
        <f t="shared" si="23"/>
        <v>81803.828748750006</v>
      </c>
      <c r="AG46" s="81">
        <f t="shared" si="23"/>
        <v>81803.828748750006</v>
      </c>
      <c r="AH46" s="81">
        <f t="shared" ref="AH46:BB46" si="24">SUM(AH35:AH45)</f>
        <v>81803.828748750006</v>
      </c>
      <c r="AI46" s="81">
        <f t="shared" si="24"/>
        <v>81803.828748750006</v>
      </c>
      <c r="AJ46" s="81">
        <f t="shared" si="24"/>
        <v>81803.828748750006</v>
      </c>
      <c r="AK46" s="81">
        <f t="shared" si="24"/>
        <v>81803.828748750006</v>
      </c>
      <c r="AL46" s="81">
        <f t="shared" si="24"/>
        <v>81803.828748750006</v>
      </c>
      <c r="AM46" s="81">
        <f t="shared" si="24"/>
        <v>81803.828748750006</v>
      </c>
      <c r="AN46" s="81">
        <f t="shared" si="24"/>
        <v>981645.94498499995</v>
      </c>
      <c r="AO46" s="81">
        <f t="shared" si="24"/>
        <v>84721.156986212533</v>
      </c>
      <c r="AP46" s="81">
        <f t="shared" si="24"/>
        <v>84721.156986212533</v>
      </c>
      <c r="AQ46" s="81">
        <f t="shared" si="24"/>
        <v>84721.156986212533</v>
      </c>
      <c r="AR46" s="81">
        <f t="shared" si="24"/>
        <v>84721.156986212533</v>
      </c>
      <c r="AS46" s="81">
        <f t="shared" si="24"/>
        <v>84721.156986212533</v>
      </c>
      <c r="AT46" s="81">
        <f t="shared" si="24"/>
        <v>84721.156986212533</v>
      </c>
      <c r="AU46" s="81">
        <f t="shared" si="24"/>
        <v>84721.156986212533</v>
      </c>
      <c r="AV46" s="81">
        <f t="shared" si="24"/>
        <v>84721.156986212533</v>
      </c>
      <c r="AW46" s="81">
        <f t="shared" si="24"/>
        <v>84721.156986212533</v>
      </c>
      <c r="AX46" s="81">
        <f t="shared" si="24"/>
        <v>84721.156986212533</v>
      </c>
      <c r="AY46" s="81">
        <f t="shared" si="24"/>
        <v>84721.156986212533</v>
      </c>
      <c r="AZ46" s="81">
        <f t="shared" si="24"/>
        <v>84721.156986212533</v>
      </c>
      <c r="BA46" s="81">
        <f t="shared" si="24"/>
        <v>1016653.8838345499</v>
      </c>
      <c r="BB46" s="81">
        <f t="shared" si="24"/>
        <v>1087469.7835129499</v>
      </c>
    </row>
    <row r="47" spans="1:54" s="84" customFormat="1" ht="11.25" x14ac:dyDescent="0.2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161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169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169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169"/>
      <c r="BB47" s="169"/>
    </row>
    <row r="48" spans="1:54" x14ac:dyDescent="0.2">
      <c r="A48" s="144" t="s">
        <v>514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162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170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170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170"/>
      <c r="BB48" s="170"/>
    </row>
    <row r="49" spans="1:54" x14ac:dyDescent="0.2">
      <c r="A49" s="67" t="s">
        <v>264</v>
      </c>
      <c r="B49" s="66">
        <f>'CIL Mgmt Assumptions'!C11*'CIL Mgmt Assumptions'!C14</f>
        <v>0</v>
      </c>
      <c r="C49" s="66">
        <f>'CIL Mgmt Assumptions'!D11*'CIL Mgmt Assumptions'!D14</f>
        <v>0</v>
      </c>
      <c r="D49" s="66">
        <f>'CIL Mgmt Assumptions'!E11*'CIL Mgmt Assumptions'!E14</f>
        <v>0</v>
      </c>
      <c r="E49" s="66">
        <f>'CIL Mgmt Assumptions'!F11*'CIL Mgmt Assumptions'!F14</f>
        <v>0</v>
      </c>
      <c r="F49" s="66">
        <f>'CIL Mgmt Assumptions'!G11*'CIL Mgmt Assumptions'!G14</f>
        <v>0</v>
      </c>
      <c r="G49" s="66">
        <f>'CIL Mgmt Assumptions'!H11*'CIL Mgmt Assumptions'!H14</f>
        <v>0</v>
      </c>
      <c r="H49" s="66">
        <f>'CIL Mgmt Assumptions'!I11*'CIL Mgmt Assumptions'!I14</f>
        <v>0</v>
      </c>
      <c r="I49" s="66">
        <f>'CIL Mgmt Assumptions'!J11*'CIL Mgmt Assumptions'!J14</f>
        <v>0</v>
      </c>
      <c r="J49" s="66">
        <f>'CIL Mgmt Assumptions'!K11*'CIL Mgmt Assumptions'!K14</f>
        <v>0</v>
      </c>
      <c r="K49" s="66">
        <f>'CIL Mgmt Assumptions'!L11*'CIL Mgmt Assumptions'!L14</f>
        <v>0</v>
      </c>
      <c r="L49" s="66">
        <f>'CIL Mgmt Assumptions'!M11*'CIL Mgmt Assumptions'!M14</f>
        <v>0</v>
      </c>
      <c r="M49" s="66">
        <f>'CIL Mgmt Assumptions'!N11*'CIL Mgmt Assumptions'!N14</f>
        <v>0</v>
      </c>
      <c r="N49" s="156">
        <f t="shared" ref="N49:N56" si="25">SUM(B49:M49)</f>
        <v>0</v>
      </c>
      <c r="O49" s="65">
        <f>$M49*(1+'CIL Mgmt Assumptions'!$D$19)</f>
        <v>0</v>
      </c>
      <c r="P49" s="65">
        <f>$M49*(1+'CIL Mgmt Assumptions'!$D$19)</f>
        <v>0</v>
      </c>
      <c r="Q49" s="65">
        <f>$M49*(1+'CIL Mgmt Assumptions'!$D$19)</f>
        <v>0</v>
      </c>
      <c r="R49" s="65">
        <f>$M49*(1+'CIL Mgmt Assumptions'!$D$19)</f>
        <v>0</v>
      </c>
      <c r="S49" s="65">
        <f>$M49*(1+'CIL Mgmt Assumptions'!$D$19)</f>
        <v>0</v>
      </c>
      <c r="T49" s="65">
        <f>$M49*(1+'CIL Mgmt Assumptions'!$D$19)</f>
        <v>0</v>
      </c>
      <c r="U49" s="65">
        <f>$M49*(1+'CIL Mgmt Assumptions'!$D$19)</f>
        <v>0</v>
      </c>
      <c r="V49" s="65">
        <f>$M49*(1+'CIL Mgmt Assumptions'!$D$19)</f>
        <v>0</v>
      </c>
      <c r="W49" s="65">
        <f>$M49*(1+'CIL Mgmt Assumptions'!$D$19)</f>
        <v>0</v>
      </c>
      <c r="X49" s="65">
        <f>$M49*(1+'CIL Mgmt Assumptions'!$D$19)</f>
        <v>0</v>
      </c>
      <c r="Y49" s="65">
        <f>$M49*(1+'CIL Mgmt Assumptions'!$D$19)</f>
        <v>0</v>
      </c>
      <c r="Z49" s="65">
        <f>$M49*(1+'CIL Mgmt Assumptions'!$D$19)</f>
        <v>0</v>
      </c>
      <c r="AA49" s="59">
        <f t="shared" ref="AA49:AA56" si="26">SUM(O49:Z49)</f>
        <v>0</v>
      </c>
      <c r="AB49" s="65">
        <f>$Z49*(1+'CIL Mgmt Assumptions'!$E$19)</f>
        <v>0</v>
      </c>
      <c r="AC49" s="65">
        <f>$Z49*(1+'CIL Mgmt Assumptions'!$E$19)</f>
        <v>0</v>
      </c>
      <c r="AD49" s="65">
        <f>$Z49*(1+'CIL Mgmt Assumptions'!$E$19)</f>
        <v>0</v>
      </c>
      <c r="AE49" s="65">
        <f>$Z49*(1+'CIL Mgmt Assumptions'!$E$19)</f>
        <v>0</v>
      </c>
      <c r="AF49" s="65">
        <f>$Z49*(1+'CIL Mgmt Assumptions'!$E$19)</f>
        <v>0</v>
      </c>
      <c r="AG49" s="65">
        <f>$Z49*(1+'CIL Mgmt Assumptions'!$E$19)</f>
        <v>0</v>
      </c>
      <c r="AH49" s="65">
        <f>$Z49*(1+'CIL Mgmt Assumptions'!$E$19)</f>
        <v>0</v>
      </c>
      <c r="AI49" s="65">
        <f>$Z49*(1+'CIL Mgmt Assumptions'!$E$19)</f>
        <v>0</v>
      </c>
      <c r="AJ49" s="65">
        <f>$Z49*(1+'CIL Mgmt Assumptions'!$E$19)</f>
        <v>0</v>
      </c>
      <c r="AK49" s="65">
        <f>$Z49*(1+'CIL Mgmt Assumptions'!$E$19)</f>
        <v>0</v>
      </c>
      <c r="AL49" s="65">
        <f>$Z49*(1+'CIL Mgmt Assumptions'!$E$19)</f>
        <v>0</v>
      </c>
      <c r="AM49" s="65">
        <f>$Z49*(1+'CIL Mgmt Assumptions'!$E$19)</f>
        <v>0</v>
      </c>
      <c r="AN49" s="175">
        <f>SUM(AB49:AM49)</f>
        <v>0</v>
      </c>
      <c r="AO49" s="65">
        <f>$AM49*(1+'CIL Mgmt Assumptions'!$F$19)</f>
        <v>0</v>
      </c>
      <c r="AP49" s="65">
        <f>$AM49*(1+'CIL Mgmt Assumptions'!$F$19)</f>
        <v>0</v>
      </c>
      <c r="AQ49" s="65">
        <f>$AM49*(1+'CIL Mgmt Assumptions'!$F$19)</f>
        <v>0</v>
      </c>
      <c r="AR49" s="65">
        <f>$AM49*(1+'CIL Mgmt Assumptions'!$F$19)</f>
        <v>0</v>
      </c>
      <c r="AS49" s="65">
        <f>$AM49*(1+'CIL Mgmt Assumptions'!$F$19)</f>
        <v>0</v>
      </c>
      <c r="AT49" s="65">
        <f>$AM49*(1+'CIL Mgmt Assumptions'!$F$19)</f>
        <v>0</v>
      </c>
      <c r="AU49" s="65">
        <f>$AM49*(1+'CIL Mgmt Assumptions'!$F$19)</f>
        <v>0</v>
      </c>
      <c r="AV49" s="65">
        <f>$AM49*(1+'CIL Mgmt Assumptions'!$F$19)</f>
        <v>0</v>
      </c>
      <c r="AW49" s="65">
        <f>$AM49*(1+'CIL Mgmt Assumptions'!$F$19)</f>
        <v>0</v>
      </c>
      <c r="AX49" s="65">
        <f>$AM49*(1+'CIL Mgmt Assumptions'!$F$19)</f>
        <v>0</v>
      </c>
      <c r="AY49" s="65">
        <f>$AM49*(1+'CIL Mgmt Assumptions'!$F$19)</f>
        <v>0</v>
      </c>
      <c r="AZ49" s="65">
        <f>$AM49*(1+'CIL Mgmt Assumptions'!$F$19)</f>
        <v>0</v>
      </c>
      <c r="BA49" s="59">
        <f t="shared" ref="BA49:BA56" si="27">SUM(AO49:AZ49)</f>
        <v>0</v>
      </c>
      <c r="BB49" s="172">
        <f>BA49*(1+'CIL Mgmt Assumptions'!$G$19)</f>
        <v>0</v>
      </c>
    </row>
    <row r="50" spans="1:54" x14ac:dyDescent="0.2">
      <c r="A50" s="67" t="s">
        <v>265</v>
      </c>
      <c r="B50" s="66">
        <f>(Headcount!I332-Headcount!I334)*'CIL Mgmt Assumptions'!$B$23*'CIL Mgmt Assumptions'!C14</f>
        <v>0</v>
      </c>
      <c r="C50" s="66">
        <f>(Headcount!J332-Headcount!J334)*'CIL Mgmt Assumptions'!$B$23*'CIL Mgmt Assumptions'!D14</f>
        <v>0</v>
      </c>
      <c r="D50" s="66">
        <f>(Headcount!K332-Headcount!K334)*'CIL Mgmt Assumptions'!$B$23*'CIL Mgmt Assumptions'!E14</f>
        <v>0</v>
      </c>
      <c r="E50" s="66">
        <f>(Headcount!L332-Headcount!L334)*'CIL Mgmt Assumptions'!$B$23*'CIL Mgmt Assumptions'!F14</f>
        <v>0</v>
      </c>
      <c r="F50" s="66">
        <f>(Headcount!M332-Headcount!M334)*'CIL Mgmt Assumptions'!$B$23*'CIL Mgmt Assumptions'!G14</f>
        <v>0</v>
      </c>
      <c r="G50" s="66">
        <f>(Headcount!N332-Headcount!N334)*'CIL Mgmt Assumptions'!$B$23*'CIL Mgmt Assumptions'!H14</f>
        <v>0</v>
      </c>
      <c r="H50" s="66">
        <f>(Headcount!O332-Headcount!O334)*'CIL Mgmt Assumptions'!$B$23*'CIL Mgmt Assumptions'!I14</f>
        <v>0</v>
      </c>
      <c r="I50" s="66">
        <f>(Headcount!P332-Headcount!P334)*'CIL Mgmt Assumptions'!$B$23*'CIL Mgmt Assumptions'!J14</f>
        <v>0</v>
      </c>
      <c r="J50" s="66">
        <f>(Headcount!Q332-Headcount!Q334)*'CIL Mgmt Assumptions'!$B$23*'CIL Mgmt Assumptions'!K14</f>
        <v>0</v>
      </c>
      <c r="K50" s="66">
        <f>(Headcount!R332-Headcount!R334)*'CIL Mgmt Assumptions'!$B$23*'CIL Mgmt Assumptions'!L14</f>
        <v>0</v>
      </c>
      <c r="L50" s="66">
        <f>(Headcount!S332-Headcount!S334)*'CIL Mgmt Assumptions'!$B$23*'CIL Mgmt Assumptions'!M14</f>
        <v>0</v>
      </c>
      <c r="M50" s="66">
        <f>(Headcount!T332-Headcount!T334)*'CIL Mgmt Assumptions'!$B$23*'CIL Mgmt Assumptions'!N14</f>
        <v>0</v>
      </c>
      <c r="N50" s="156">
        <f t="shared" si="25"/>
        <v>0</v>
      </c>
      <c r="O50" s="65">
        <f>$M50*(1+'CIL Mgmt Assumptions'!$D$19)</f>
        <v>0</v>
      </c>
      <c r="P50" s="65">
        <f>$M50*(1+'CIL Mgmt Assumptions'!$D$19)</f>
        <v>0</v>
      </c>
      <c r="Q50" s="65">
        <f>$M50*(1+'CIL Mgmt Assumptions'!$D$19)</f>
        <v>0</v>
      </c>
      <c r="R50" s="65">
        <f>$M50*(1+'CIL Mgmt Assumptions'!$D$19)</f>
        <v>0</v>
      </c>
      <c r="S50" s="65">
        <f>$M50*(1+'CIL Mgmt Assumptions'!$D$19)</f>
        <v>0</v>
      </c>
      <c r="T50" s="65">
        <f>$M50*(1+'CIL Mgmt Assumptions'!$D$19)</f>
        <v>0</v>
      </c>
      <c r="U50" s="65">
        <f>$M50*(1+'CIL Mgmt Assumptions'!$D$19)</f>
        <v>0</v>
      </c>
      <c r="V50" s="65">
        <f>$M50*(1+'CIL Mgmt Assumptions'!$D$19)</f>
        <v>0</v>
      </c>
      <c r="W50" s="65">
        <f>$M50*(1+'CIL Mgmt Assumptions'!$D$19)</f>
        <v>0</v>
      </c>
      <c r="X50" s="65">
        <f>$M50*(1+'CIL Mgmt Assumptions'!$D$19)</f>
        <v>0</v>
      </c>
      <c r="Y50" s="65">
        <f>$M50*(1+'CIL Mgmt Assumptions'!$D$19)</f>
        <v>0</v>
      </c>
      <c r="Z50" s="65">
        <f>$M50*(1+'CIL Mgmt Assumptions'!$D$19)</f>
        <v>0</v>
      </c>
      <c r="AA50" s="59">
        <f t="shared" si="26"/>
        <v>0</v>
      </c>
      <c r="AB50" s="65">
        <f>$Z50*(1+'CIL Mgmt Assumptions'!$E$19)</f>
        <v>0</v>
      </c>
      <c r="AC50" s="65">
        <f>$Z50*(1+'CIL Mgmt Assumptions'!$E$19)</f>
        <v>0</v>
      </c>
      <c r="AD50" s="65">
        <f>$Z50*(1+'CIL Mgmt Assumptions'!$E$19)</f>
        <v>0</v>
      </c>
      <c r="AE50" s="65">
        <f>$Z50*(1+'CIL Mgmt Assumptions'!$E$19)</f>
        <v>0</v>
      </c>
      <c r="AF50" s="65">
        <f>$Z50*(1+'CIL Mgmt Assumptions'!$E$19)</f>
        <v>0</v>
      </c>
      <c r="AG50" s="65">
        <f>$Z50*(1+'CIL Mgmt Assumptions'!$E$19)</f>
        <v>0</v>
      </c>
      <c r="AH50" s="65">
        <f>$Z50*(1+'CIL Mgmt Assumptions'!$E$19)</f>
        <v>0</v>
      </c>
      <c r="AI50" s="65">
        <f>$Z50*(1+'CIL Mgmt Assumptions'!$E$19)</f>
        <v>0</v>
      </c>
      <c r="AJ50" s="65">
        <f>$Z50*(1+'CIL Mgmt Assumptions'!$E$19)</f>
        <v>0</v>
      </c>
      <c r="AK50" s="65">
        <f>$Z50*(1+'CIL Mgmt Assumptions'!$E$19)</f>
        <v>0</v>
      </c>
      <c r="AL50" s="65">
        <f>$Z50*(1+'CIL Mgmt Assumptions'!$E$19)</f>
        <v>0</v>
      </c>
      <c r="AM50" s="65">
        <f>$Z50*(1+'CIL Mgmt Assumptions'!$E$19)</f>
        <v>0</v>
      </c>
      <c r="AN50" s="175">
        <f t="shared" ref="AN50:AN56" si="28">SUM(AB50:AM50)</f>
        <v>0</v>
      </c>
      <c r="AO50" s="65">
        <f>$AE50*(1+'CIL Mgmt Assumptions'!$F$19)</f>
        <v>0</v>
      </c>
      <c r="AP50" s="65">
        <f>$AE50*(1+'CIL Mgmt Assumptions'!$F$19)</f>
        <v>0</v>
      </c>
      <c r="AQ50" s="65">
        <f>$AE50*(1+'CIL Mgmt Assumptions'!$F$19)</f>
        <v>0</v>
      </c>
      <c r="AR50" s="65">
        <f>$AE50*(1+'CIL Mgmt Assumptions'!$F$19)</f>
        <v>0</v>
      </c>
      <c r="AS50" s="65">
        <f>$AE50*(1+'CIL Mgmt Assumptions'!$F$19)</f>
        <v>0</v>
      </c>
      <c r="AT50" s="65">
        <f>$AE50*(1+'CIL Mgmt Assumptions'!$F$19)</f>
        <v>0</v>
      </c>
      <c r="AU50" s="65">
        <f>$AE50*(1+'CIL Mgmt Assumptions'!$F$19)</f>
        <v>0</v>
      </c>
      <c r="AV50" s="65">
        <f>$AE50*(1+'CIL Mgmt Assumptions'!$F$19)</f>
        <v>0</v>
      </c>
      <c r="AW50" s="65">
        <f>$AE50*(1+'CIL Mgmt Assumptions'!$F$19)</f>
        <v>0</v>
      </c>
      <c r="AX50" s="65">
        <f>$AE50*(1+'CIL Mgmt Assumptions'!$F$19)</f>
        <v>0</v>
      </c>
      <c r="AY50" s="65">
        <f>$AE50*(1+'CIL Mgmt Assumptions'!$F$19)</f>
        <v>0</v>
      </c>
      <c r="AZ50" s="65">
        <f>$AE50*(1+'CIL Mgmt Assumptions'!$F$19)</f>
        <v>0</v>
      </c>
      <c r="BA50" s="59">
        <f t="shared" si="27"/>
        <v>0</v>
      </c>
      <c r="BB50" s="172">
        <f>BB49*'CIL Mgmt Assumptions'!$G$19</f>
        <v>0</v>
      </c>
    </row>
    <row r="51" spans="1:54" x14ac:dyDescent="0.2">
      <c r="A51" s="67" t="s">
        <v>266</v>
      </c>
      <c r="B51" s="66">
        <f>Headcount!I334*'CIL Mgmt Assumptions'!$B$30*'CIL Mgmt Assumptions'!C14</f>
        <v>0</v>
      </c>
      <c r="C51" s="66">
        <f>Headcount!J334*'CIL Mgmt Assumptions'!$B$30*'CIL Mgmt Assumptions'!D14</f>
        <v>0</v>
      </c>
      <c r="D51" s="66">
        <f>Headcount!K334*'CIL Mgmt Assumptions'!$B$30*'CIL Mgmt Assumptions'!E14</f>
        <v>0</v>
      </c>
      <c r="E51" s="66">
        <f>Headcount!L334*'CIL Mgmt Assumptions'!$B$30*'CIL Mgmt Assumptions'!F14</f>
        <v>0</v>
      </c>
      <c r="F51" s="66">
        <f>Headcount!M334*'CIL Mgmt Assumptions'!$B$30*'CIL Mgmt Assumptions'!G14</f>
        <v>0</v>
      </c>
      <c r="G51" s="66">
        <f>Headcount!N334*'CIL Mgmt Assumptions'!$B$30*'CIL Mgmt Assumptions'!H14</f>
        <v>0</v>
      </c>
      <c r="H51" s="66">
        <f>Headcount!O334*'CIL Mgmt Assumptions'!$B$30*'CIL Mgmt Assumptions'!I14</f>
        <v>0</v>
      </c>
      <c r="I51" s="66">
        <f>Headcount!P334*'CIL Mgmt Assumptions'!$B$30*'CIL Mgmt Assumptions'!J14</f>
        <v>0</v>
      </c>
      <c r="J51" s="66">
        <f>Headcount!Q334*'CIL Mgmt Assumptions'!$B$30*'CIL Mgmt Assumptions'!K14</f>
        <v>0</v>
      </c>
      <c r="K51" s="66">
        <f>Headcount!R334*'CIL Mgmt Assumptions'!$B$30*'CIL Mgmt Assumptions'!L14</f>
        <v>0</v>
      </c>
      <c r="L51" s="66">
        <f>Headcount!S334*'CIL Mgmt Assumptions'!$B$30*'CIL Mgmt Assumptions'!M14</f>
        <v>0</v>
      </c>
      <c r="M51" s="66">
        <f>Headcount!T334*'CIL Mgmt Assumptions'!$B$30*'CIL Mgmt Assumptions'!N14</f>
        <v>0</v>
      </c>
      <c r="N51" s="156">
        <f t="shared" si="25"/>
        <v>0</v>
      </c>
      <c r="O51" s="65">
        <f>$M51*(1+'CIL Mgmt Assumptions'!$D$19)</f>
        <v>0</v>
      </c>
      <c r="P51" s="65">
        <f>$M51*(1+'CIL Mgmt Assumptions'!$D$19)</f>
        <v>0</v>
      </c>
      <c r="Q51" s="65">
        <f>$M51*(1+'CIL Mgmt Assumptions'!$D$19)</f>
        <v>0</v>
      </c>
      <c r="R51" s="65">
        <f>$M51*(1+'CIL Mgmt Assumptions'!$D$19)</f>
        <v>0</v>
      </c>
      <c r="S51" s="65">
        <f>$M51*(1+'CIL Mgmt Assumptions'!$D$19)</f>
        <v>0</v>
      </c>
      <c r="T51" s="65">
        <f>$M51*(1+'CIL Mgmt Assumptions'!$D$19)</f>
        <v>0</v>
      </c>
      <c r="U51" s="65">
        <f>$M51*(1+'CIL Mgmt Assumptions'!$D$19)</f>
        <v>0</v>
      </c>
      <c r="V51" s="65">
        <f>$M51*(1+'CIL Mgmt Assumptions'!$D$19)</f>
        <v>0</v>
      </c>
      <c r="W51" s="65">
        <f>$M51*(1+'CIL Mgmt Assumptions'!$D$19)</f>
        <v>0</v>
      </c>
      <c r="X51" s="65">
        <f>$M51*(1+'CIL Mgmt Assumptions'!$D$19)</f>
        <v>0</v>
      </c>
      <c r="Y51" s="65">
        <f>$M51*(1+'CIL Mgmt Assumptions'!$D$19)</f>
        <v>0</v>
      </c>
      <c r="Z51" s="65">
        <f>$M51*(1+'CIL Mgmt Assumptions'!$D$19)</f>
        <v>0</v>
      </c>
      <c r="AA51" s="59">
        <f t="shared" si="26"/>
        <v>0</v>
      </c>
      <c r="AB51" s="65">
        <f>$Z51*(1+'CIL Mgmt Assumptions'!$E$19)</f>
        <v>0</v>
      </c>
      <c r="AC51" s="65">
        <f>$Z51*(1+'CIL Mgmt Assumptions'!$E$19)</f>
        <v>0</v>
      </c>
      <c r="AD51" s="65">
        <f>$Z51*(1+'CIL Mgmt Assumptions'!$E$19)</f>
        <v>0</v>
      </c>
      <c r="AE51" s="65">
        <f>$Z51*(1+'CIL Mgmt Assumptions'!$E$19)</f>
        <v>0</v>
      </c>
      <c r="AF51" s="65">
        <f>$Z51*(1+'CIL Mgmt Assumptions'!$E$19)</f>
        <v>0</v>
      </c>
      <c r="AG51" s="65">
        <f>$Z51*(1+'CIL Mgmt Assumptions'!$E$19)</f>
        <v>0</v>
      </c>
      <c r="AH51" s="65">
        <f>$Z51*(1+'CIL Mgmt Assumptions'!$E$19)</f>
        <v>0</v>
      </c>
      <c r="AI51" s="65">
        <f>$Z51*(1+'CIL Mgmt Assumptions'!$E$19)</f>
        <v>0</v>
      </c>
      <c r="AJ51" s="65">
        <f>$Z51*(1+'CIL Mgmt Assumptions'!$E$19)</f>
        <v>0</v>
      </c>
      <c r="AK51" s="65">
        <f>$Z51*(1+'CIL Mgmt Assumptions'!$E$19)</f>
        <v>0</v>
      </c>
      <c r="AL51" s="65">
        <f>$Z51*(1+'CIL Mgmt Assumptions'!$E$19)</f>
        <v>0</v>
      </c>
      <c r="AM51" s="65">
        <f>$Z51*(1+'CIL Mgmt Assumptions'!$E$19)</f>
        <v>0</v>
      </c>
      <c r="AN51" s="175">
        <f t="shared" si="28"/>
        <v>0</v>
      </c>
      <c r="AO51" s="65">
        <f>$AE51*(1+'CIL Mgmt Assumptions'!$F$19)</f>
        <v>0</v>
      </c>
      <c r="AP51" s="65">
        <f>$AE51*(1+'CIL Mgmt Assumptions'!$F$19)</f>
        <v>0</v>
      </c>
      <c r="AQ51" s="65">
        <f>$AE51*(1+'CIL Mgmt Assumptions'!$F$19)</f>
        <v>0</v>
      </c>
      <c r="AR51" s="65">
        <f>$AE51*(1+'CIL Mgmt Assumptions'!$F$19)</f>
        <v>0</v>
      </c>
      <c r="AS51" s="65">
        <f>$AE51*(1+'CIL Mgmt Assumptions'!$F$19)</f>
        <v>0</v>
      </c>
      <c r="AT51" s="65">
        <f>$AE51*(1+'CIL Mgmt Assumptions'!$F$19)</f>
        <v>0</v>
      </c>
      <c r="AU51" s="65">
        <f>$AE51*(1+'CIL Mgmt Assumptions'!$F$19)</f>
        <v>0</v>
      </c>
      <c r="AV51" s="65">
        <f>$AE51*(1+'CIL Mgmt Assumptions'!$F$19)</f>
        <v>0</v>
      </c>
      <c r="AW51" s="65">
        <f>$AE51*(1+'CIL Mgmt Assumptions'!$F$19)</f>
        <v>0</v>
      </c>
      <c r="AX51" s="65">
        <f>$AE51*(1+'CIL Mgmt Assumptions'!$F$19)</f>
        <v>0</v>
      </c>
      <c r="AY51" s="65">
        <f>$AE51*(1+'CIL Mgmt Assumptions'!$F$19)</f>
        <v>0</v>
      </c>
      <c r="AZ51" s="65">
        <f>$AE51*(1+'CIL Mgmt Assumptions'!$F$19)</f>
        <v>0</v>
      </c>
      <c r="BA51" s="59">
        <f t="shared" si="27"/>
        <v>0</v>
      </c>
      <c r="BB51" s="172">
        <f>BA51*(1+'CIL Mgmt Assumptions'!$B$30)</f>
        <v>0</v>
      </c>
    </row>
    <row r="52" spans="1:54" x14ac:dyDescent="0.2">
      <c r="A52" s="67" t="s">
        <v>267</v>
      </c>
      <c r="B52" s="66">
        <f>(B49+B50+B51)*'CIL Mgmt Assumptions'!$B$28</f>
        <v>0</v>
      </c>
      <c r="C52" s="66">
        <f>(C49+C50+C51)*'CIL Mgmt Assumptions'!$B$28</f>
        <v>0</v>
      </c>
      <c r="D52" s="66">
        <f>(D49+D50+D51)*'CIL Mgmt Assumptions'!$B$28</f>
        <v>0</v>
      </c>
      <c r="E52" s="66">
        <f>(E49+E50+E51)*'CIL Mgmt Assumptions'!$B$28</f>
        <v>0</v>
      </c>
      <c r="F52" s="66">
        <f>(F49+F50+F51)*'CIL Mgmt Assumptions'!$B$28</f>
        <v>0</v>
      </c>
      <c r="G52" s="66">
        <f>(G49+G50+G51)*'CIL Mgmt Assumptions'!$B$28</f>
        <v>0</v>
      </c>
      <c r="H52" s="66">
        <f>(H49+H50+H51)*'CIL Mgmt Assumptions'!$B$28</f>
        <v>0</v>
      </c>
      <c r="I52" s="66">
        <f>(I49+I50+I51)*'CIL Mgmt Assumptions'!$B$28</f>
        <v>0</v>
      </c>
      <c r="J52" s="66">
        <f>(J49+J50+J51)*'CIL Mgmt Assumptions'!$B$28</f>
        <v>0</v>
      </c>
      <c r="K52" s="66">
        <f>(K49+K50+K51)*'CIL Mgmt Assumptions'!$B$28</f>
        <v>0</v>
      </c>
      <c r="L52" s="66">
        <f>(L49+L50+L51)*'CIL Mgmt Assumptions'!$B$28</f>
        <v>0</v>
      </c>
      <c r="M52" s="66">
        <f>(M49+M50+M51)*'CIL Mgmt Assumptions'!$B$28</f>
        <v>0</v>
      </c>
      <c r="N52" s="156">
        <f t="shared" si="25"/>
        <v>0</v>
      </c>
      <c r="O52" s="65">
        <f>(O49+O50+O51)*'CIL Mgmt Assumptions'!$B$28</f>
        <v>0</v>
      </c>
      <c r="P52" s="65">
        <f>(P49+P50+P51)*'CIL Mgmt Assumptions'!$B$28</f>
        <v>0</v>
      </c>
      <c r="Q52" s="65">
        <f>(Q49+Q50+Q51)*'CIL Mgmt Assumptions'!$B$28</f>
        <v>0</v>
      </c>
      <c r="R52" s="65">
        <f>(R49+R50+R51)*'CIL Mgmt Assumptions'!$B$28</f>
        <v>0</v>
      </c>
      <c r="S52" s="65">
        <f>(S49+S50+S51)*'CIL Mgmt Assumptions'!$B$28</f>
        <v>0</v>
      </c>
      <c r="T52" s="65">
        <f>(T49+T50+T51)*'CIL Mgmt Assumptions'!$B$28</f>
        <v>0</v>
      </c>
      <c r="U52" s="65">
        <f>(U49+U50+U51)*'CIL Mgmt Assumptions'!$B$28</f>
        <v>0</v>
      </c>
      <c r="V52" s="65">
        <f>(V49+V50+V51)*'CIL Mgmt Assumptions'!$B$28</f>
        <v>0</v>
      </c>
      <c r="W52" s="65">
        <f>(W49+W50+W51)*'CIL Mgmt Assumptions'!$B$28</f>
        <v>0</v>
      </c>
      <c r="X52" s="65">
        <f>(X49+X50+X51)*'CIL Mgmt Assumptions'!$B$28</f>
        <v>0</v>
      </c>
      <c r="Y52" s="65">
        <f>(Y49+Y50+Y51)*'CIL Mgmt Assumptions'!$B$28</f>
        <v>0</v>
      </c>
      <c r="Z52" s="65">
        <f>(Z49+Z50+Z51)*'CIL Mgmt Assumptions'!$B$28</f>
        <v>0</v>
      </c>
      <c r="AA52" s="59">
        <f t="shared" si="26"/>
        <v>0</v>
      </c>
      <c r="AB52" s="65">
        <f>(AB49+AB50+AB51)*'CIL Mgmt Assumptions'!$B$28</f>
        <v>0</v>
      </c>
      <c r="AC52" s="65">
        <f>(AC49+AC50+AC51)*'CIL Mgmt Assumptions'!$B$28</f>
        <v>0</v>
      </c>
      <c r="AD52" s="65">
        <f>(AD49+AD50+AD51)*'CIL Mgmt Assumptions'!$B$28</f>
        <v>0</v>
      </c>
      <c r="AE52" s="65">
        <f>(AE49+AE50+AE51)*'CIL Mgmt Assumptions'!$B$28</f>
        <v>0</v>
      </c>
      <c r="AF52" s="65">
        <f>(AF49+AF50+AF51)*'CIL Mgmt Assumptions'!$B$28</f>
        <v>0</v>
      </c>
      <c r="AG52" s="65">
        <f>(AG49+AG50+AG51)*'CIL Mgmt Assumptions'!$B$28</f>
        <v>0</v>
      </c>
      <c r="AH52" s="65">
        <f>(AH49+AH50+AH51)*'CIL Mgmt Assumptions'!$B$28</f>
        <v>0</v>
      </c>
      <c r="AI52" s="65">
        <f>(AI49+AI50+AI51)*'CIL Mgmt Assumptions'!$B$28</f>
        <v>0</v>
      </c>
      <c r="AJ52" s="65">
        <f>(AJ49+AJ50+AJ51)*'CIL Mgmt Assumptions'!$B$28</f>
        <v>0</v>
      </c>
      <c r="AK52" s="65">
        <f>(AK49+AK50+AK51)*'CIL Mgmt Assumptions'!$B$28</f>
        <v>0</v>
      </c>
      <c r="AL52" s="65">
        <f>(AL49+AL50+AL51)*'CIL Mgmt Assumptions'!$B$28</f>
        <v>0</v>
      </c>
      <c r="AM52" s="65">
        <f>(AM49+AM50+AM51)*'CIL Mgmt Assumptions'!$B$28</f>
        <v>0</v>
      </c>
      <c r="AN52" s="175">
        <f t="shared" si="28"/>
        <v>0</v>
      </c>
      <c r="AO52" s="65">
        <f>(AO49+AO50+AO51)*'CIL Mgmt Assumptions'!$B$28</f>
        <v>0</v>
      </c>
      <c r="AP52" s="65">
        <f>(AP49+AP50+AP51)*'CIL Mgmt Assumptions'!$B$28</f>
        <v>0</v>
      </c>
      <c r="AQ52" s="65">
        <f>(AQ49+AQ50+AQ51)*'CIL Mgmt Assumptions'!$B$28</f>
        <v>0</v>
      </c>
      <c r="AR52" s="65">
        <f>(AR49+AR50+AR51)*'CIL Mgmt Assumptions'!$B$28</f>
        <v>0</v>
      </c>
      <c r="AS52" s="65">
        <f>(AS49+AS50+AS51)*'CIL Mgmt Assumptions'!$B$28</f>
        <v>0</v>
      </c>
      <c r="AT52" s="65">
        <f>(AT49+AT50+AT51)*'CIL Mgmt Assumptions'!$B$28</f>
        <v>0</v>
      </c>
      <c r="AU52" s="65">
        <f>(AU49+AU50+AU51)*'CIL Mgmt Assumptions'!$B$28</f>
        <v>0</v>
      </c>
      <c r="AV52" s="65">
        <f>(AV49+AV50+AV51)*'CIL Mgmt Assumptions'!$B$28</f>
        <v>0</v>
      </c>
      <c r="AW52" s="65">
        <f>(AW49+AW50+AW51)*'CIL Mgmt Assumptions'!$B$28</f>
        <v>0</v>
      </c>
      <c r="AX52" s="65">
        <f>(AX49+AX50+AX51)*'CIL Mgmt Assumptions'!$B$28</f>
        <v>0</v>
      </c>
      <c r="AY52" s="65">
        <f>(AY49+AY50+AY51)*'CIL Mgmt Assumptions'!$B$28</f>
        <v>0</v>
      </c>
      <c r="AZ52" s="65">
        <f>(AZ49+AZ50+AZ51)*'CIL Mgmt Assumptions'!$B$28</f>
        <v>0</v>
      </c>
      <c r="BA52" s="59">
        <f t="shared" si="27"/>
        <v>0</v>
      </c>
      <c r="BB52" s="172">
        <f>(BB49+BB50+BB51)*'CIL Mgmt Assumptions'!$B$28</f>
        <v>0</v>
      </c>
    </row>
    <row r="53" spans="1:54" x14ac:dyDescent="0.2">
      <c r="A53" s="62" t="s">
        <v>185</v>
      </c>
      <c r="B53" s="66">
        <f>Headcount!I331*'CIL Mgmt Assumptions'!$B$36*'CIL Mgmt Assumptions'!$B$39*'CIL Mgmt Assumptions'!C14</f>
        <v>0</v>
      </c>
      <c r="C53" s="66">
        <f>Headcount!J331*'CIL Mgmt Assumptions'!$B$36*'CIL Mgmt Assumptions'!$B$39*'CIL Mgmt Assumptions'!D14</f>
        <v>0</v>
      </c>
      <c r="D53" s="66">
        <f>Headcount!K331*'CIL Mgmt Assumptions'!$B$36*'CIL Mgmt Assumptions'!$B$39*'CIL Mgmt Assumptions'!E14</f>
        <v>0</v>
      </c>
      <c r="E53" s="66">
        <f>Headcount!L331*'CIL Mgmt Assumptions'!$B$36*'CIL Mgmt Assumptions'!$B$39*'CIL Mgmt Assumptions'!F14</f>
        <v>0</v>
      </c>
      <c r="F53" s="66">
        <f>Headcount!M331*'CIL Mgmt Assumptions'!$B$36*'CIL Mgmt Assumptions'!$B$39*'CIL Mgmt Assumptions'!G14</f>
        <v>0</v>
      </c>
      <c r="G53" s="66">
        <f>Headcount!N331*'CIL Mgmt Assumptions'!$B$36*'CIL Mgmt Assumptions'!$B$39*'CIL Mgmt Assumptions'!H14</f>
        <v>0</v>
      </c>
      <c r="H53" s="66">
        <f>Headcount!O331*'CIL Mgmt Assumptions'!$B$36*'CIL Mgmt Assumptions'!$B$39*'CIL Mgmt Assumptions'!I14</f>
        <v>0</v>
      </c>
      <c r="I53" s="66">
        <f>Headcount!P331*'CIL Mgmt Assumptions'!$B$36*'CIL Mgmt Assumptions'!$B$39*'CIL Mgmt Assumptions'!J14</f>
        <v>0</v>
      </c>
      <c r="J53" s="66">
        <f>Headcount!Q331*'CIL Mgmt Assumptions'!$B$36*'CIL Mgmt Assumptions'!$B$39*'CIL Mgmt Assumptions'!K14</f>
        <v>0</v>
      </c>
      <c r="K53" s="66">
        <f>Headcount!R331*'CIL Mgmt Assumptions'!$B$36*'CIL Mgmt Assumptions'!$B$39*'CIL Mgmt Assumptions'!L14</f>
        <v>0</v>
      </c>
      <c r="L53" s="66">
        <f>Headcount!S331*'CIL Mgmt Assumptions'!$B$36*'CIL Mgmt Assumptions'!$B$39*'CIL Mgmt Assumptions'!M14</f>
        <v>0</v>
      </c>
      <c r="M53" s="66">
        <f>Headcount!T331*'CIL Mgmt Assumptions'!$B$36*'CIL Mgmt Assumptions'!$B$39*'CIL Mgmt Assumptions'!N14</f>
        <v>0</v>
      </c>
      <c r="N53" s="156">
        <f t="shared" si="25"/>
        <v>0</v>
      </c>
      <c r="O53" s="65">
        <f>$M53*(1+'CIL Mgmt Assumptions'!$D$36)</f>
        <v>0</v>
      </c>
      <c r="P53" s="65">
        <f>$M53*(1+'CIL Mgmt Assumptions'!$D$36)</f>
        <v>0</v>
      </c>
      <c r="Q53" s="65">
        <f>$M53*(1+'CIL Mgmt Assumptions'!$D$36)</f>
        <v>0</v>
      </c>
      <c r="R53" s="65">
        <f>$M53*(1+'CIL Mgmt Assumptions'!$D$36)</f>
        <v>0</v>
      </c>
      <c r="S53" s="65">
        <f>$M53*(1+'CIL Mgmt Assumptions'!$D$36)</f>
        <v>0</v>
      </c>
      <c r="T53" s="65">
        <f>$M53*(1+'CIL Mgmt Assumptions'!$D$36)</f>
        <v>0</v>
      </c>
      <c r="U53" s="65">
        <f>$M53*(1+'CIL Mgmt Assumptions'!$D$36)</f>
        <v>0</v>
      </c>
      <c r="V53" s="65">
        <f>$M53*(1+'CIL Mgmt Assumptions'!$D$36)</f>
        <v>0</v>
      </c>
      <c r="W53" s="65">
        <f>$M53*(1+'CIL Mgmt Assumptions'!$D$36)</f>
        <v>0</v>
      </c>
      <c r="X53" s="65">
        <f>$M53*(1+'CIL Mgmt Assumptions'!$D$36)</f>
        <v>0</v>
      </c>
      <c r="Y53" s="65">
        <f>$M53*(1+'CIL Mgmt Assumptions'!$D$36)</f>
        <v>0</v>
      </c>
      <c r="Z53" s="65">
        <f>$M53*(1+'CIL Mgmt Assumptions'!$D$36)</f>
        <v>0</v>
      </c>
      <c r="AA53" s="59">
        <f t="shared" si="26"/>
        <v>0</v>
      </c>
      <c r="AB53" s="65">
        <f>$Z53*(1+'CIL Mgmt Assumptions'!$E$36)</f>
        <v>0</v>
      </c>
      <c r="AC53" s="65">
        <f>$Z53*(1+'CIL Mgmt Assumptions'!$E$36)</f>
        <v>0</v>
      </c>
      <c r="AD53" s="65">
        <f>$Z53*(1+'CIL Mgmt Assumptions'!$E$36)</f>
        <v>0</v>
      </c>
      <c r="AE53" s="65">
        <f>$Z53*(1+'CIL Mgmt Assumptions'!$E$36)</f>
        <v>0</v>
      </c>
      <c r="AF53" s="65">
        <f>$Z53*(1+'CIL Mgmt Assumptions'!$E$36)</f>
        <v>0</v>
      </c>
      <c r="AG53" s="65">
        <f>$Z53*(1+'CIL Mgmt Assumptions'!$E$36)</f>
        <v>0</v>
      </c>
      <c r="AH53" s="65">
        <f>$Z53*(1+'CIL Mgmt Assumptions'!$E$36)</f>
        <v>0</v>
      </c>
      <c r="AI53" s="65">
        <f>$Z53*(1+'CIL Mgmt Assumptions'!$E$36)</f>
        <v>0</v>
      </c>
      <c r="AJ53" s="65">
        <f>$Z53*(1+'CIL Mgmt Assumptions'!$E$36)</f>
        <v>0</v>
      </c>
      <c r="AK53" s="65">
        <f>$Z53*(1+'CIL Mgmt Assumptions'!$E$36)</f>
        <v>0</v>
      </c>
      <c r="AL53" s="65">
        <f>$Z53*(1+'CIL Mgmt Assumptions'!$E$36)</f>
        <v>0</v>
      </c>
      <c r="AM53" s="65">
        <f>$Z53*(1+'CIL Mgmt Assumptions'!$E$36)</f>
        <v>0</v>
      </c>
      <c r="AN53" s="175">
        <f t="shared" si="28"/>
        <v>0</v>
      </c>
      <c r="AO53" s="65">
        <f>$AE53*(1+'CIL Mgmt Assumptions'!$F$36)</f>
        <v>0</v>
      </c>
      <c r="AP53" s="65">
        <f>$AE53*(1+'CIL Mgmt Assumptions'!$F$36)</f>
        <v>0</v>
      </c>
      <c r="AQ53" s="65">
        <f>$AE53*(1+'CIL Mgmt Assumptions'!$F$36)</f>
        <v>0</v>
      </c>
      <c r="AR53" s="65">
        <f>$AE53*(1+'CIL Mgmt Assumptions'!$F$36)</f>
        <v>0</v>
      </c>
      <c r="AS53" s="65">
        <f>$AE53*(1+'CIL Mgmt Assumptions'!$F$36)</f>
        <v>0</v>
      </c>
      <c r="AT53" s="65">
        <f>$AE53*(1+'CIL Mgmt Assumptions'!$F$36)</f>
        <v>0</v>
      </c>
      <c r="AU53" s="65">
        <f>$AE53*(1+'CIL Mgmt Assumptions'!$F$36)</f>
        <v>0</v>
      </c>
      <c r="AV53" s="65">
        <f>$AE53*(1+'CIL Mgmt Assumptions'!$F$36)</f>
        <v>0</v>
      </c>
      <c r="AW53" s="65">
        <f>$AE53*(1+'CIL Mgmt Assumptions'!$F$36)</f>
        <v>0</v>
      </c>
      <c r="AX53" s="65">
        <f>$AE53*(1+'CIL Mgmt Assumptions'!$F$36)</f>
        <v>0</v>
      </c>
      <c r="AY53" s="65">
        <f>$AE53*(1+'CIL Mgmt Assumptions'!$F$36)</f>
        <v>0</v>
      </c>
      <c r="AZ53" s="65">
        <f>$AE53*(1+'CIL Mgmt Assumptions'!$F$36)</f>
        <v>0</v>
      </c>
      <c r="BA53" s="59">
        <f t="shared" si="27"/>
        <v>0</v>
      </c>
      <c r="BB53" s="172">
        <f>BA53*(1+'CIL Mgmt Assumptions'!$G$36)</f>
        <v>0</v>
      </c>
    </row>
    <row r="54" spans="1:54" x14ac:dyDescent="0.2">
      <c r="A54" s="67" t="s">
        <v>268</v>
      </c>
      <c r="B54" s="66">
        <f>(B49+B50+B51)*'CIL Mgmt Assumptions'!$B$42</f>
        <v>0</v>
      </c>
      <c r="C54" s="66">
        <f>(C49+C50+C51)*'CIL Mgmt Assumptions'!$B$42</f>
        <v>0</v>
      </c>
      <c r="D54" s="66">
        <f>(D49+D50+D51)*'CIL Mgmt Assumptions'!$B$42</f>
        <v>0</v>
      </c>
      <c r="E54" s="66">
        <f>(E49+E50+E51)*'CIL Mgmt Assumptions'!$B$42</f>
        <v>0</v>
      </c>
      <c r="F54" s="66">
        <f>(F49+F50+F51)*'CIL Mgmt Assumptions'!$B$42</f>
        <v>0</v>
      </c>
      <c r="G54" s="66">
        <f>(G49+G50+G51)*'CIL Mgmt Assumptions'!$B$42</f>
        <v>0</v>
      </c>
      <c r="H54" s="66">
        <f>(H49+H50+H51)*'CIL Mgmt Assumptions'!$B$42</f>
        <v>0</v>
      </c>
      <c r="I54" s="66">
        <f>(I49+I50+I51)*'CIL Mgmt Assumptions'!$B$42</f>
        <v>0</v>
      </c>
      <c r="J54" s="66">
        <f>(J49+J50+J51)*'CIL Mgmt Assumptions'!$B$42</f>
        <v>0</v>
      </c>
      <c r="K54" s="66">
        <f>(K49+K50+K51)*'CIL Mgmt Assumptions'!$B$42</f>
        <v>0</v>
      </c>
      <c r="L54" s="66">
        <f>(L49+L50+L51)*'CIL Mgmt Assumptions'!$B$42</f>
        <v>0</v>
      </c>
      <c r="M54" s="66">
        <f>(M49+M50+M51)*'CIL Mgmt Assumptions'!$B$42</f>
        <v>0</v>
      </c>
      <c r="N54" s="156">
        <f t="shared" si="25"/>
        <v>0</v>
      </c>
      <c r="O54" s="65">
        <f>(O49+O50+O51)*'CIL Mgmt Assumptions'!$B$42</f>
        <v>0</v>
      </c>
      <c r="P54" s="65">
        <f>(P49+P50+P51)*'CIL Mgmt Assumptions'!$B$42</f>
        <v>0</v>
      </c>
      <c r="Q54" s="65">
        <f>(Q49+Q50+Q51)*'CIL Mgmt Assumptions'!$B$42</f>
        <v>0</v>
      </c>
      <c r="R54" s="65">
        <f>(R49+R50+R51)*'CIL Mgmt Assumptions'!$B$42</f>
        <v>0</v>
      </c>
      <c r="S54" s="65">
        <f>(S49+S50+S51)*'CIL Mgmt Assumptions'!$B$42</f>
        <v>0</v>
      </c>
      <c r="T54" s="65">
        <f>(T49+T50+T51)*'CIL Mgmt Assumptions'!$B$42</f>
        <v>0</v>
      </c>
      <c r="U54" s="65">
        <f>(U49+U50+U51)*'CIL Mgmt Assumptions'!$B$42</f>
        <v>0</v>
      </c>
      <c r="V54" s="65">
        <f>(V49+V50+V51)*'CIL Mgmt Assumptions'!$B$42</f>
        <v>0</v>
      </c>
      <c r="W54" s="65">
        <f>(W49+W50+W51)*'CIL Mgmt Assumptions'!$B$42</f>
        <v>0</v>
      </c>
      <c r="X54" s="65">
        <f>(X49+X50+X51)*'CIL Mgmt Assumptions'!$B$42</f>
        <v>0</v>
      </c>
      <c r="Y54" s="65">
        <f>(Y49+Y50+Y51)*'CIL Mgmt Assumptions'!$B$42</f>
        <v>0</v>
      </c>
      <c r="Z54" s="65">
        <f>(Z49+Z50+Z51)*'CIL Mgmt Assumptions'!$B$42</f>
        <v>0</v>
      </c>
      <c r="AA54" s="59">
        <f t="shared" si="26"/>
        <v>0</v>
      </c>
      <c r="AB54" s="65">
        <f>(AB49+AB50+AB51)*'CIL Mgmt Assumptions'!$B$42</f>
        <v>0</v>
      </c>
      <c r="AC54" s="65">
        <f>(AC49+AC50+AC51)*'CIL Mgmt Assumptions'!$B$42</f>
        <v>0</v>
      </c>
      <c r="AD54" s="65">
        <f>(AD49+AD50+AD51)*'CIL Mgmt Assumptions'!$B$42</f>
        <v>0</v>
      </c>
      <c r="AE54" s="65">
        <f>(AE49+AE50+AE51)*'CIL Mgmt Assumptions'!$B$42</f>
        <v>0</v>
      </c>
      <c r="AF54" s="65">
        <f>(AF49+AF50+AF51)*'CIL Mgmt Assumptions'!$B$42</f>
        <v>0</v>
      </c>
      <c r="AG54" s="65">
        <f>(AG49+AG50+AG51)*'CIL Mgmt Assumptions'!$B$42</f>
        <v>0</v>
      </c>
      <c r="AH54" s="65">
        <f>(AH49+AH50+AH51)*'CIL Mgmt Assumptions'!$B$42</f>
        <v>0</v>
      </c>
      <c r="AI54" s="65">
        <f>(AI49+AI50+AI51)*'CIL Mgmt Assumptions'!$B$42</f>
        <v>0</v>
      </c>
      <c r="AJ54" s="65">
        <f>(AJ49+AJ50+AJ51)*'CIL Mgmt Assumptions'!$B$42</f>
        <v>0</v>
      </c>
      <c r="AK54" s="65">
        <f>(AK49+AK50+AK51)*'CIL Mgmt Assumptions'!$B$42</f>
        <v>0</v>
      </c>
      <c r="AL54" s="65">
        <f>(AL49+AL50+AL51)*'CIL Mgmt Assumptions'!$B$42</f>
        <v>0</v>
      </c>
      <c r="AM54" s="65">
        <f>(AM49+AM50+AM51)*'CIL Mgmt Assumptions'!$B$42</f>
        <v>0</v>
      </c>
      <c r="AN54" s="175">
        <f t="shared" si="28"/>
        <v>0</v>
      </c>
      <c r="AO54" s="65">
        <f>(AO49+AO50+AO51)*'CIL Mgmt Assumptions'!$B$42</f>
        <v>0</v>
      </c>
      <c r="AP54" s="65">
        <f>(AP49+AP50+AP51)*'CIL Mgmt Assumptions'!$B$42</f>
        <v>0</v>
      </c>
      <c r="AQ54" s="65">
        <f>(AQ49+AQ50+AQ51)*'CIL Mgmt Assumptions'!$B$42</f>
        <v>0</v>
      </c>
      <c r="AR54" s="65">
        <f>(AR49+AR50+AR51)*'CIL Mgmt Assumptions'!$B$42</f>
        <v>0</v>
      </c>
      <c r="AS54" s="65">
        <f>(AS49+AS50+AS51)*'CIL Mgmt Assumptions'!$B$42</f>
        <v>0</v>
      </c>
      <c r="AT54" s="65">
        <f>(AT49+AT50+AT51)*'CIL Mgmt Assumptions'!$B$42</f>
        <v>0</v>
      </c>
      <c r="AU54" s="65">
        <f>(AU49+AU50+AU51)*'CIL Mgmt Assumptions'!$B$42</f>
        <v>0</v>
      </c>
      <c r="AV54" s="65">
        <f>(AV49+AV50+AV51)*'CIL Mgmt Assumptions'!$B$42</f>
        <v>0</v>
      </c>
      <c r="AW54" s="65">
        <f>(AW49+AW50+AW51)*'CIL Mgmt Assumptions'!$B$42</f>
        <v>0</v>
      </c>
      <c r="AX54" s="65">
        <f>(AX49+AX50+AX51)*'CIL Mgmt Assumptions'!$B$42</f>
        <v>0</v>
      </c>
      <c r="AY54" s="65">
        <f>(AY49+AY50+AY51)*'CIL Mgmt Assumptions'!$B$42</f>
        <v>0</v>
      </c>
      <c r="AZ54" s="65">
        <f>(AZ49+AZ50+AZ51)*'CIL Mgmt Assumptions'!$B$42</f>
        <v>0</v>
      </c>
      <c r="BA54" s="59">
        <f t="shared" si="27"/>
        <v>0</v>
      </c>
      <c r="BB54" s="172">
        <f>(BB49+BB50+BB51)*'CIL Mgmt Assumptions'!$B$42</f>
        <v>0</v>
      </c>
    </row>
    <row r="55" spans="1:54" x14ac:dyDescent="0.2">
      <c r="A55" s="67" t="s">
        <v>199</v>
      </c>
      <c r="B55" s="66">
        <f>(Headcount!$F$337*Headcount!$E$337+Headcount!$F$338*Headcount!$E$338+Headcount!$F$339*Headcount!$E$339+Headcount!$F$340*Headcount!$E$340)/100/12*'CIL Mgmt Assumptions'!C14</f>
        <v>0</v>
      </c>
      <c r="C55" s="66">
        <f>(Headcount!$F$337*Headcount!$E$337+Headcount!$F$338*Headcount!$E$338+Headcount!$F$339*Headcount!$E$339+Headcount!$F$340*Headcount!$E$340)/100/12*'CIL Mgmt Assumptions'!D14</f>
        <v>0</v>
      </c>
      <c r="D55" s="66">
        <f>(Headcount!$F$337*Headcount!$E$337+Headcount!$F$338*Headcount!$E$338+Headcount!$F$339*Headcount!$E$339+Headcount!$F$340*Headcount!$E$340)/100/12*'CIL Mgmt Assumptions'!E14</f>
        <v>0</v>
      </c>
      <c r="E55" s="66">
        <f>(Headcount!$F$337*Headcount!$E$337+Headcount!$F$338*Headcount!$E$338+Headcount!$F$339*Headcount!$E$339+Headcount!$F$340*Headcount!$E$340)/100/12*'CIL Mgmt Assumptions'!F14</f>
        <v>0</v>
      </c>
      <c r="F55" s="66">
        <f>(Headcount!$F$337*Headcount!$E$337+Headcount!$F$338*Headcount!$E$338+Headcount!$F$339*Headcount!$E$339+Headcount!$F$340*Headcount!$E$340)/100/12*'CIL Mgmt Assumptions'!G14</f>
        <v>0</v>
      </c>
      <c r="G55" s="66">
        <f>(Headcount!$F$337*Headcount!$E$337+Headcount!$F$338*Headcount!$E$338+Headcount!$F$339*Headcount!$E$339+Headcount!$F$340*Headcount!$E$340)/100/12*'CIL Mgmt Assumptions'!H14</f>
        <v>0</v>
      </c>
      <c r="H55" s="66">
        <f>(Headcount!$F$337*Headcount!$E$337+Headcount!$F$338*Headcount!$E$338+Headcount!$F$339*Headcount!$E$339+Headcount!$F$340*Headcount!$E$340)/100/12*'CIL Mgmt Assumptions'!I14</f>
        <v>0</v>
      </c>
      <c r="I55" s="66">
        <f>(Headcount!$F$337*Headcount!$E$337+Headcount!$F$338*Headcount!$E$338+Headcount!$F$339*Headcount!$E$339+Headcount!$F$340*Headcount!$E$340)/100/12*'CIL Mgmt Assumptions'!J14</f>
        <v>0</v>
      </c>
      <c r="J55" s="66">
        <f>(Headcount!$F$337*Headcount!$E$337+Headcount!$F$338*Headcount!$E$338+Headcount!$F$339*Headcount!$E$339+Headcount!$F$340*Headcount!$E$340)/100/12*'CIL Mgmt Assumptions'!K14</f>
        <v>0</v>
      </c>
      <c r="K55" s="66">
        <f>(Headcount!$F$337*Headcount!$E$337+Headcount!$F$338*Headcount!$E$338+Headcount!$F$339*Headcount!$E$339+Headcount!$F$340*Headcount!$E$340)/100/12*'CIL Mgmt Assumptions'!L14</f>
        <v>0</v>
      </c>
      <c r="L55" s="66">
        <f>(Headcount!$F$337*Headcount!$E$337+Headcount!$F$338*Headcount!$E$338+Headcount!$F$339*Headcount!$E$339+Headcount!$F$340*Headcount!$E$340)/100/12*'CIL Mgmt Assumptions'!M14</f>
        <v>0</v>
      </c>
      <c r="M55" s="66">
        <f>(Headcount!$F$337*Headcount!$E$337+Headcount!$F$338*Headcount!$E$338+Headcount!$F$339*Headcount!$E$339+Headcount!$F$340*Headcount!$E$340)/100/12*'CIL Mgmt Assumptions'!N14</f>
        <v>0</v>
      </c>
      <c r="N55" s="156">
        <f t="shared" si="25"/>
        <v>0</v>
      </c>
      <c r="O55" s="66">
        <f>(Headcount!$G$337*Headcount!$E$337+Headcount!$G$338*Headcount!$E$338+Headcount!$G$339*Headcount!$E$339+Headcount!$G$340*Headcount!$E$340)/100/12*'CIL Mgmt Assumptions'!C14</f>
        <v>0</v>
      </c>
      <c r="P55" s="66">
        <f>(Headcount!$G$337*Headcount!$E$337+Headcount!$G$338*Headcount!$E$338+Headcount!$G$339*Headcount!$E$339+Headcount!$G$340*Headcount!$E$340)/100/12*'CIL Mgmt Assumptions'!D14</f>
        <v>0</v>
      </c>
      <c r="Q55" s="66">
        <f>(Headcount!$G$337*Headcount!$E$337+Headcount!$G$338*Headcount!$E$338+Headcount!$G$339*Headcount!$E$339+Headcount!$G$340*Headcount!$E$340)/100/12*'CIL Mgmt Assumptions'!E14</f>
        <v>0</v>
      </c>
      <c r="R55" s="66">
        <f>(Headcount!$G$337*Headcount!$E$337+Headcount!$G$338*Headcount!$E$338+Headcount!$G$339*Headcount!$E$339+Headcount!$G$340*Headcount!$E$340)/100/12*'CIL Mgmt Assumptions'!F14</f>
        <v>0</v>
      </c>
      <c r="S55" s="66">
        <f>(Headcount!$G$337*Headcount!$E$337+Headcount!$G$338*Headcount!$E$338+Headcount!$G$339*Headcount!$E$339+Headcount!$G$340*Headcount!$E$340)/100/12*'CIL Mgmt Assumptions'!G14</f>
        <v>0</v>
      </c>
      <c r="T55" s="66">
        <f>(Headcount!$G$337*Headcount!$E$337+Headcount!$G$338*Headcount!$E$338+Headcount!$G$339*Headcount!$E$339+Headcount!$G$340*Headcount!$E$340)/100/12*'CIL Mgmt Assumptions'!H14</f>
        <v>0</v>
      </c>
      <c r="U55" s="66">
        <f>(Headcount!$G$337*Headcount!$E$337+Headcount!$G$338*Headcount!$E$338+Headcount!$G$339*Headcount!$E$339+Headcount!$G$340*Headcount!$E$340)/100/12*'CIL Mgmt Assumptions'!I14</f>
        <v>0</v>
      </c>
      <c r="V55" s="66">
        <f>(Headcount!$G$337*Headcount!$E$337+Headcount!$G$338*Headcount!$E$338+Headcount!$G$339*Headcount!$E$339+Headcount!$G$340*Headcount!$E$340)/100/12*'CIL Mgmt Assumptions'!J14</f>
        <v>0</v>
      </c>
      <c r="W55" s="66">
        <f>(Headcount!$G$337*Headcount!$E$337+Headcount!$G$338*Headcount!$E$338+Headcount!$G$339*Headcount!$E$339+Headcount!$G$340*Headcount!$E$340)/100/12*'CIL Mgmt Assumptions'!K14</f>
        <v>0</v>
      </c>
      <c r="X55" s="66">
        <f>(Headcount!$G$337*Headcount!$E$337+Headcount!$G$338*Headcount!$E$338+Headcount!$G$339*Headcount!$E$339+Headcount!$G$340*Headcount!$E$340)/100/12*'CIL Mgmt Assumptions'!L14</f>
        <v>0</v>
      </c>
      <c r="Y55" s="66">
        <f>(Headcount!$G$337*Headcount!$E$337+Headcount!$G$338*Headcount!$E$338+Headcount!$G$339*Headcount!$E$339+Headcount!$G$340*Headcount!$E$340)/100/12*'CIL Mgmt Assumptions'!M14</f>
        <v>0</v>
      </c>
      <c r="Z55" s="66">
        <f>(Headcount!$G$337*Headcount!$E$337+Headcount!$G$338*Headcount!$E$338+Headcount!$G$339*Headcount!$E$339+Headcount!$G$340*Headcount!$E$340)/100/12*'CIL Mgmt Assumptions'!N14</f>
        <v>0</v>
      </c>
      <c r="AA55" s="59">
        <f t="shared" si="26"/>
        <v>0</v>
      </c>
      <c r="AB55" s="66">
        <f>$Z$55*(1+'CIL Mgmt Assumptions'!$E$19)</f>
        <v>0</v>
      </c>
      <c r="AC55" s="66">
        <f>$Z$55*(1+'CIL Mgmt Assumptions'!$E$19)</f>
        <v>0</v>
      </c>
      <c r="AD55" s="66">
        <f>$Z$55*(1+'CIL Mgmt Assumptions'!$E$19)</f>
        <v>0</v>
      </c>
      <c r="AE55" s="66">
        <f>$Z$55*(1+'CIL Mgmt Assumptions'!$E$19)</f>
        <v>0</v>
      </c>
      <c r="AF55" s="66">
        <f>$Z$55*(1+'CIL Mgmt Assumptions'!$E$19)</f>
        <v>0</v>
      </c>
      <c r="AG55" s="66">
        <f>$Z$55*(1+'CIL Mgmt Assumptions'!$E$19)</f>
        <v>0</v>
      </c>
      <c r="AH55" s="66">
        <f>$Z$55*(1+'CIL Mgmt Assumptions'!$E$19)</f>
        <v>0</v>
      </c>
      <c r="AI55" s="66">
        <f>$Z$55*(1+'CIL Mgmt Assumptions'!$E$19)</f>
        <v>0</v>
      </c>
      <c r="AJ55" s="66">
        <f>$Z$55*(1+'CIL Mgmt Assumptions'!$E$19)</f>
        <v>0</v>
      </c>
      <c r="AK55" s="66">
        <f>$Z$55*(1+'CIL Mgmt Assumptions'!$E$19)</f>
        <v>0</v>
      </c>
      <c r="AL55" s="66">
        <f>$Z$55*(1+'CIL Mgmt Assumptions'!$E$19)</f>
        <v>0</v>
      </c>
      <c r="AM55" s="66">
        <f>$Z$55*(1+'CIL Mgmt Assumptions'!$E$19)</f>
        <v>0</v>
      </c>
      <c r="AN55" s="175">
        <f t="shared" si="28"/>
        <v>0</v>
      </c>
      <c r="AO55" s="65">
        <f>$AM$55*(1+'CIL Mgmt Assumptions'!$F$19)</f>
        <v>0</v>
      </c>
      <c r="AP55" s="65">
        <f>$AM$55*(1+'CIL Mgmt Assumptions'!$F$19)</f>
        <v>0</v>
      </c>
      <c r="AQ55" s="65">
        <f>$AM$55*(1+'CIL Mgmt Assumptions'!$F$19)</f>
        <v>0</v>
      </c>
      <c r="AR55" s="65">
        <f>$AM$55*(1+'CIL Mgmt Assumptions'!$F$19)</f>
        <v>0</v>
      </c>
      <c r="AS55" s="65">
        <f>$AM$55*(1+'CIL Mgmt Assumptions'!$F$19)</f>
        <v>0</v>
      </c>
      <c r="AT55" s="65">
        <f>$AM$55*(1+'CIL Mgmt Assumptions'!$F$19)</f>
        <v>0</v>
      </c>
      <c r="AU55" s="65">
        <f>$AM$55*(1+'CIL Mgmt Assumptions'!$F$19)</f>
        <v>0</v>
      </c>
      <c r="AV55" s="65">
        <f>$AM$55*(1+'CIL Mgmt Assumptions'!$F$19)</f>
        <v>0</v>
      </c>
      <c r="AW55" s="65">
        <f>$AM$55*(1+'CIL Mgmt Assumptions'!$F$19)</f>
        <v>0</v>
      </c>
      <c r="AX55" s="65">
        <f>$AM$55*(1+'CIL Mgmt Assumptions'!$F$19)</f>
        <v>0</v>
      </c>
      <c r="AY55" s="65">
        <f>$AM$55*(1+'CIL Mgmt Assumptions'!$F$19)</f>
        <v>0</v>
      </c>
      <c r="AZ55" s="65">
        <f>$AM$55*(1+'CIL Mgmt Assumptions'!$F$19)</f>
        <v>0</v>
      </c>
      <c r="BA55" s="59">
        <f t="shared" si="27"/>
        <v>0</v>
      </c>
      <c r="BB55" s="175">
        <f>BA55*(1+'CIL Mgmt Assumptions'!G19)</f>
        <v>0</v>
      </c>
    </row>
    <row r="56" spans="1:54" x14ac:dyDescent="0.2">
      <c r="A56" s="67" t="s">
        <v>269</v>
      </c>
      <c r="B56" s="65">
        <f>'FSS 805 Assumptions'!$B$56</f>
        <v>0</v>
      </c>
      <c r="C56" s="65">
        <f>'FSS 805 Assumptions'!$B$56</f>
        <v>0</v>
      </c>
      <c r="D56" s="65">
        <f>'FSS 805 Assumptions'!$B$56</f>
        <v>0</v>
      </c>
      <c r="E56" s="65">
        <f>'FSS 805 Assumptions'!$B$56</f>
        <v>0</v>
      </c>
      <c r="F56" s="65">
        <f>'FSS 805 Assumptions'!$B$56</f>
        <v>0</v>
      </c>
      <c r="G56" s="65">
        <f>'FSS 805 Assumptions'!$B$56</f>
        <v>0</v>
      </c>
      <c r="H56" s="65">
        <f>'FSS 805 Assumptions'!$B$56</f>
        <v>0</v>
      </c>
      <c r="I56" s="65">
        <f>'FSS 805 Assumptions'!$B$56</f>
        <v>0</v>
      </c>
      <c r="J56" s="65">
        <f>'FSS 805 Assumptions'!$B$56</f>
        <v>0</v>
      </c>
      <c r="K56" s="65">
        <f>'FSS 805 Assumptions'!$B$56</f>
        <v>0</v>
      </c>
      <c r="L56" s="65">
        <f>'FSS 805 Assumptions'!$B$56</f>
        <v>0</v>
      </c>
      <c r="M56" s="65">
        <f>'FSS 805 Assumptions'!$B$56</f>
        <v>0</v>
      </c>
      <c r="N56" s="156">
        <f t="shared" si="25"/>
        <v>0</v>
      </c>
      <c r="O56" s="65">
        <f>$M56*(1+'FSS 805 Assumptions'!$D$56)</f>
        <v>0</v>
      </c>
      <c r="P56" s="65">
        <f>$M56*(1+'FSS 805 Assumptions'!$D$56)</f>
        <v>0</v>
      </c>
      <c r="Q56" s="65">
        <f>$M56*(1+'FSS 805 Assumptions'!$D$56)</f>
        <v>0</v>
      </c>
      <c r="R56" s="65">
        <f>$M56*(1+'FSS 805 Assumptions'!$D$56)</f>
        <v>0</v>
      </c>
      <c r="S56" s="65">
        <f>$M56*(1+'FSS 805 Assumptions'!$D$56)</f>
        <v>0</v>
      </c>
      <c r="T56" s="65">
        <f>$M56*(1+'FSS 805 Assumptions'!$D$56)</f>
        <v>0</v>
      </c>
      <c r="U56" s="65">
        <f>$M56*(1+'FSS 805 Assumptions'!$D$56)</f>
        <v>0</v>
      </c>
      <c r="V56" s="65">
        <f>$M56*(1+'FSS 805 Assumptions'!$D$56)</f>
        <v>0</v>
      </c>
      <c r="W56" s="65">
        <f>$M56*(1+'FSS 805 Assumptions'!$D$56)</f>
        <v>0</v>
      </c>
      <c r="X56" s="65">
        <f>$M56*(1+'FSS 805 Assumptions'!$D$56)</f>
        <v>0</v>
      </c>
      <c r="Y56" s="65">
        <f>$M56*(1+'FSS 805 Assumptions'!$D$56)</f>
        <v>0</v>
      </c>
      <c r="Z56" s="65">
        <f>$M56*(1+'FSS 805 Assumptions'!$D$56)</f>
        <v>0</v>
      </c>
      <c r="AA56" s="59">
        <f t="shared" si="26"/>
        <v>0</v>
      </c>
      <c r="AB56" s="65">
        <f>$Z56*(1+'FSS 805 Assumptions'!$E$55)</f>
        <v>0</v>
      </c>
      <c r="AC56" s="65">
        <f>$Z56*(1+'FSS 805 Assumptions'!$E$55)</f>
        <v>0</v>
      </c>
      <c r="AD56" s="65">
        <f>$Z56*(1+'FSS 805 Assumptions'!$E$55)</f>
        <v>0</v>
      </c>
      <c r="AE56" s="65">
        <f>$Z56*(1+'FSS 805 Assumptions'!$E$55)</f>
        <v>0</v>
      </c>
      <c r="AF56" s="65">
        <f>$Z56*(1+'FSS 805 Assumptions'!$E$55)</f>
        <v>0</v>
      </c>
      <c r="AG56" s="65">
        <f>$Z56*(1+'FSS 805 Assumptions'!$E$55)</f>
        <v>0</v>
      </c>
      <c r="AH56" s="65">
        <f>$Z56*(1+'FSS 805 Assumptions'!$E$55)</f>
        <v>0</v>
      </c>
      <c r="AI56" s="65">
        <f>$Z56*(1+'FSS 805 Assumptions'!$E$55)</f>
        <v>0</v>
      </c>
      <c r="AJ56" s="65">
        <f>$Z56*(1+'FSS 805 Assumptions'!$E$55)</f>
        <v>0</v>
      </c>
      <c r="AK56" s="65">
        <f>$Z56*(1+'FSS 805 Assumptions'!$E$55)</f>
        <v>0</v>
      </c>
      <c r="AL56" s="65">
        <f>$Z56*(1+'FSS 805 Assumptions'!$E$55)</f>
        <v>0</v>
      </c>
      <c r="AM56" s="65">
        <f>$Z56*(1+'FSS 805 Assumptions'!$E$55)</f>
        <v>0</v>
      </c>
      <c r="AN56" s="175">
        <f t="shared" si="28"/>
        <v>0</v>
      </c>
      <c r="AO56" s="65">
        <f>$AM56*(1+'FSS 805 Assumptions'!$F56)</f>
        <v>0</v>
      </c>
      <c r="AP56" s="65">
        <f>$AM56*(1+'FSS 805 Assumptions'!$F56)</f>
        <v>0</v>
      </c>
      <c r="AQ56" s="65">
        <f>$AM56*(1+'FSS 805 Assumptions'!$F56)</f>
        <v>0</v>
      </c>
      <c r="AR56" s="65">
        <f>$AM56*(1+'FSS 805 Assumptions'!$F56)</f>
        <v>0</v>
      </c>
      <c r="AS56" s="65">
        <f>$AM56*(1+'FSS 805 Assumptions'!$F56)</f>
        <v>0</v>
      </c>
      <c r="AT56" s="65">
        <f>$AM56*(1+'FSS 805 Assumptions'!$F56)</f>
        <v>0</v>
      </c>
      <c r="AU56" s="65">
        <f>$AM56*(1+'FSS 805 Assumptions'!$F56)</f>
        <v>0</v>
      </c>
      <c r="AV56" s="65">
        <f>$AM56*(1+'FSS 805 Assumptions'!$F56)</f>
        <v>0</v>
      </c>
      <c r="AW56" s="65">
        <f>$AM56*(1+'FSS 805 Assumptions'!$F56)</f>
        <v>0</v>
      </c>
      <c r="AX56" s="65">
        <f>$AM56*(1+'FSS 805 Assumptions'!$F56)</f>
        <v>0</v>
      </c>
      <c r="AY56" s="65">
        <f>$AM56*(1+'FSS 805 Assumptions'!$F56)</f>
        <v>0</v>
      </c>
      <c r="AZ56" s="65">
        <f>$AM56*(1+'FSS 805 Assumptions'!$F56)</f>
        <v>0</v>
      </c>
      <c r="BA56" s="59">
        <f t="shared" si="27"/>
        <v>0</v>
      </c>
      <c r="BB56" s="175">
        <f>BA56*(1+'FSS 805 Assumptions'!G56)</f>
        <v>0</v>
      </c>
    </row>
    <row r="57" spans="1:54" x14ac:dyDescent="0.2">
      <c r="A57" s="76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160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132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174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174"/>
      <c r="BB57" s="174"/>
    </row>
    <row r="58" spans="1:54" s="80" customFormat="1" collapsed="1" x14ac:dyDescent="0.2">
      <c r="A58" s="79" t="s">
        <v>253</v>
      </c>
      <c r="B58" s="81">
        <f>SUM(B49:B57)</f>
        <v>0</v>
      </c>
      <c r="C58" s="81">
        <f t="shared" ref="C58:BB58" si="29">SUM(C49:C57)</f>
        <v>0</v>
      </c>
      <c r="D58" s="81">
        <f t="shared" si="29"/>
        <v>0</v>
      </c>
      <c r="E58" s="81">
        <f t="shared" si="29"/>
        <v>0</v>
      </c>
      <c r="F58" s="81">
        <f t="shared" si="29"/>
        <v>0</v>
      </c>
      <c r="G58" s="81">
        <f t="shared" si="29"/>
        <v>0</v>
      </c>
      <c r="H58" s="81">
        <f t="shared" si="29"/>
        <v>0</v>
      </c>
      <c r="I58" s="81">
        <f t="shared" si="29"/>
        <v>0</v>
      </c>
      <c r="J58" s="81">
        <f t="shared" si="29"/>
        <v>0</v>
      </c>
      <c r="K58" s="81">
        <f t="shared" si="29"/>
        <v>0</v>
      </c>
      <c r="L58" s="81">
        <f t="shared" si="29"/>
        <v>0</v>
      </c>
      <c r="M58" s="81">
        <f t="shared" si="29"/>
        <v>0</v>
      </c>
      <c r="N58" s="81">
        <f t="shared" si="29"/>
        <v>0</v>
      </c>
      <c r="O58" s="81">
        <f t="shared" si="29"/>
        <v>0</v>
      </c>
      <c r="P58" s="81">
        <f t="shared" si="29"/>
        <v>0</v>
      </c>
      <c r="Q58" s="81">
        <f t="shared" si="29"/>
        <v>0</v>
      </c>
      <c r="R58" s="81">
        <f t="shared" si="29"/>
        <v>0</v>
      </c>
      <c r="S58" s="81">
        <f t="shared" si="29"/>
        <v>0</v>
      </c>
      <c r="T58" s="81">
        <f t="shared" si="29"/>
        <v>0</v>
      </c>
      <c r="U58" s="81">
        <f t="shared" si="29"/>
        <v>0</v>
      </c>
      <c r="V58" s="81">
        <f t="shared" si="29"/>
        <v>0</v>
      </c>
      <c r="W58" s="81">
        <f t="shared" si="29"/>
        <v>0</v>
      </c>
      <c r="X58" s="81">
        <f t="shared" si="29"/>
        <v>0</v>
      </c>
      <c r="Y58" s="81">
        <f t="shared" si="29"/>
        <v>0</v>
      </c>
      <c r="Z58" s="81">
        <f t="shared" si="29"/>
        <v>0</v>
      </c>
      <c r="AA58" s="81">
        <f t="shared" si="29"/>
        <v>0</v>
      </c>
      <c r="AB58" s="81">
        <f t="shared" si="29"/>
        <v>0</v>
      </c>
      <c r="AC58" s="81">
        <f t="shared" si="29"/>
        <v>0</v>
      </c>
      <c r="AD58" s="81">
        <f t="shared" si="29"/>
        <v>0</v>
      </c>
      <c r="AE58" s="81">
        <f t="shared" si="29"/>
        <v>0</v>
      </c>
      <c r="AF58" s="81">
        <f t="shared" si="29"/>
        <v>0</v>
      </c>
      <c r="AG58" s="81">
        <f t="shared" si="29"/>
        <v>0</v>
      </c>
      <c r="AH58" s="81">
        <f t="shared" si="29"/>
        <v>0</v>
      </c>
      <c r="AI58" s="81">
        <f t="shared" si="29"/>
        <v>0</v>
      </c>
      <c r="AJ58" s="81">
        <f t="shared" si="29"/>
        <v>0</v>
      </c>
      <c r="AK58" s="81">
        <f t="shared" si="29"/>
        <v>0</v>
      </c>
      <c r="AL58" s="81">
        <f t="shared" si="29"/>
        <v>0</v>
      </c>
      <c r="AM58" s="81">
        <f t="shared" si="29"/>
        <v>0</v>
      </c>
      <c r="AN58" s="81">
        <f t="shared" si="29"/>
        <v>0</v>
      </c>
      <c r="AO58" s="81">
        <f t="shared" si="29"/>
        <v>0</v>
      </c>
      <c r="AP58" s="81">
        <f t="shared" si="29"/>
        <v>0</v>
      </c>
      <c r="AQ58" s="81">
        <f t="shared" si="29"/>
        <v>0</v>
      </c>
      <c r="AR58" s="81">
        <f t="shared" si="29"/>
        <v>0</v>
      </c>
      <c r="AS58" s="81">
        <f t="shared" si="29"/>
        <v>0</v>
      </c>
      <c r="AT58" s="81">
        <f t="shared" si="29"/>
        <v>0</v>
      </c>
      <c r="AU58" s="81">
        <f t="shared" si="29"/>
        <v>0</v>
      </c>
      <c r="AV58" s="81">
        <f t="shared" si="29"/>
        <v>0</v>
      </c>
      <c r="AW58" s="81">
        <f t="shared" si="29"/>
        <v>0</v>
      </c>
      <c r="AX58" s="81">
        <f t="shared" si="29"/>
        <v>0</v>
      </c>
      <c r="AY58" s="81">
        <f t="shared" si="29"/>
        <v>0</v>
      </c>
      <c r="AZ58" s="81">
        <f t="shared" si="29"/>
        <v>0</v>
      </c>
      <c r="BA58" s="81">
        <f t="shared" si="29"/>
        <v>0</v>
      </c>
      <c r="BB58" s="81">
        <f t="shared" si="29"/>
        <v>0</v>
      </c>
    </row>
    <row r="59" spans="1:54" s="80" customFormat="1" x14ac:dyDescent="0.2">
      <c r="A59" s="79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</row>
    <row r="60" spans="1:54" x14ac:dyDescent="0.2">
      <c r="A60" s="74" t="s">
        <v>195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9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168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168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168"/>
      <c r="BB60" s="168"/>
    </row>
    <row r="61" spans="1:54" x14ac:dyDescent="0.2">
      <c r="A61" s="67" t="s">
        <v>219</v>
      </c>
      <c r="B61" s="65">
        <f>'FSS 805 Assumptions'!$B59</f>
        <v>412</v>
      </c>
      <c r="C61" s="65">
        <f>'FSS 805 Assumptions'!$B59</f>
        <v>412</v>
      </c>
      <c r="D61" s="65">
        <f>'FSS 805 Assumptions'!$B59</f>
        <v>412</v>
      </c>
      <c r="E61" s="65">
        <f>'FSS 805 Assumptions'!$B59</f>
        <v>412</v>
      </c>
      <c r="F61" s="65">
        <f>'FSS 805 Assumptions'!$B59</f>
        <v>412</v>
      </c>
      <c r="G61" s="65">
        <f>'FSS 805 Assumptions'!$B59</f>
        <v>412</v>
      </c>
      <c r="H61" s="65">
        <f>'FSS 805 Assumptions'!$B59</f>
        <v>412</v>
      </c>
      <c r="I61" s="65">
        <f>'FSS 805 Assumptions'!$B59</f>
        <v>412</v>
      </c>
      <c r="J61" s="65">
        <f>'FSS 805 Assumptions'!$B59</f>
        <v>412</v>
      </c>
      <c r="K61" s="65">
        <f>'FSS 805 Assumptions'!$B59</f>
        <v>412</v>
      </c>
      <c r="L61" s="65">
        <f>'FSS 805 Assumptions'!$B59</f>
        <v>412</v>
      </c>
      <c r="M61" s="65">
        <f>'FSS 805 Assumptions'!$B59</f>
        <v>412</v>
      </c>
      <c r="N61" s="156">
        <f t="shared" ref="N61:N67" si="30">SUM(B61:M61)</f>
        <v>4944</v>
      </c>
      <c r="O61" s="65">
        <f>$M61*(1+'FSS 805 Assumptions'!$D59)</f>
        <v>424.36</v>
      </c>
      <c r="P61" s="65">
        <f>$M61*(1+'FSS 805 Assumptions'!$D59)</f>
        <v>424.36</v>
      </c>
      <c r="Q61" s="65">
        <f>$M61*(1+'FSS 805 Assumptions'!$D59)</f>
        <v>424.36</v>
      </c>
      <c r="R61" s="65">
        <f>$M61*(1+'FSS 805 Assumptions'!$D59)</f>
        <v>424.36</v>
      </c>
      <c r="S61" s="65">
        <f>$M61*(1+'FSS 805 Assumptions'!$D59)</f>
        <v>424.36</v>
      </c>
      <c r="T61" s="65">
        <f>$M61*(1+'FSS 805 Assumptions'!$D59)</f>
        <v>424.36</v>
      </c>
      <c r="U61" s="65">
        <f>$M61*(1+'FSS 805 Assumptions'!$D59)</f>
        <v>424.36</v>
      </c>
      <c r="V61" s="65">
        <f>$M61*(1+'FSS 805 Assumptions'!$D59)</f>
        <v>424.36</v>
      </c>
      <c r="W61" s="65">
        <f>$M61*(1+'FSS 805 Assumptions'!$D59)</f>
        <v>424.36</v>
      </c>
      <c r="X61" s="65">
        <f>$M61*(1+'FSS 805 Assumptions'!$D59)</f>
        <v>424.36</v>
      </c>
      <c r="Y61" s="65">
        <f>$M61*(1+'FSS 805 Assumptions'!$D59)</f>
        <v>424.36</v>
      </c>
      <c r="Z61" s="65">
        <f>$M61*(1+'FSS 805 Assumptions'!$D59)</f>
        <v>424.36</v>
      </c>
      <c r="AA61" s="59">
        <f t="shared" ref="AA61:AA67" si="31">SUM(O61:Z61)</f>
        <v>5092.32</v>
      </c>
      <c r="AB61" s="65">
        <f>$Z61*(1+'FSS 805 Assumptions'!$E59)</f>
        <v>437.0908</v>
      </c>
      <c r="AC61" s="65">
        <f>$Z61*(1+'FSS 805 Assumptions'!$E59)</f>
        <v>437.0908</v>
      </c>
      <c r="AD61" s="65">
        <f>$Z61*(1+'FSS 805 Assumptions'!$E59)</f>
        <v>437.0908</v>
      </c>
      <c r="AE61" s="65">
        <f>$Z61*(1+'FSS 805 Assumptions'!$E59)</f>
        <v>437.0908</v>
      </c>
      <c r="AF61" s="65">
        <f>$Z61*(1+'FSS 805 Assumptions'!$E59)</f>
        <v>437.0908</v>
      </c>
      <c r="AG61" s="65">
        <f>$Z61*(1+'FSS 805 Assumptions'!$E59)</f>
        <v>437.0908</v>
      </c>
      <c r="AH61" s="65">
        <f>$Z61*(1+'FSS 805 Assumptions'!$E59)</f>
        <v>437.0908</v>
      </c>
      <c r="AI61" s="65">
        <f>$Z61*(1+'FSS 805 Assumptions'!$E59)</f>
        <v>437.0908</v>
      </c>
      <c r="AJ61" s="65">
        <f>$Z61*(1+'FSS 805 Assumptions'!$E59)</f>
        <v>437.0908</v>
      </c>
      <c r="AK61" s="65">
        <f>$Z61*(1+'FSS 805 Assumptions'!$E59)</f>
        <v>437.0908</v>
      </c>
      <c r="AL61" s="65">
        <f>$Z61*(1+'FSS 805 Assumptions'!$E59)</f>
        <v>437.0908</v>
      </c>
      <c r="AM61" s="65">
        <f>$Z61*(1+'FSS 805 Assumptions'!$E59)</f>
        <v>437.0908</v>
      </c>
      <c r="AN61" s="172">
        <f>AA61*(1+'FSS 805 Assumptions'!E59)</f>
        <v>5245.0896000000002</v>
      </c>
      <c r="AO61" s="65">
        <f>$AM61*(1+'FSS 805 Assumptions'!$F59)</f>
        <v>450.20352400000002</v>
      </c>
      <c r="AP61" s="65">
        <f>$AM61*(1+'FSS 805 Assumptions'!$F59)</f>
        <v>450.20352400000002</v>
      </c>
      <c r="AQ61" s="65">
        <f>$AM61*(1+'FSS 805 Assumptions'!$F59)</f>
        <v>450.20352400000002</v>
      </c>
      <c r="AR61" s="65">
        <f>$AM61*(1+'FSS 805 Assumptions'!$F59)</f>
        <v>450.20352400000002</v>
      </c>
      <c r="AS61" s="65">
        <f>$AM61*(1+'FSS 805 Assumptions'!$F59)</f>
        <v>450.20352400000002</v>
      </c>
      <c r="AT61" s="65">
        <f>$AM61*(1+'FSS 805 Assumptions'!$F59)</f>
        <v>450.20352400000002</v>
      </c>
      <c r="AU61" s="65">
        <f>$AM61*(1+'FSS 805 Assumptions'!$F59)</f>
        <v>450.20352400000002</v>
      </c>
      <c r="AV61" s="65">
        <f>$AM61*(1+'FSS 805 Assumptions'!$F59)</f>
        <v>450.20352400000002</v>
      </c>
      <c r="AW61" s="65">
        <f>$AM61*(1+'FSS 805 Assumptions'!$F59)</f>
        <v>450.20352400000002</v>
      </c>
      <c r="AX61" s="65">
        <f>$AM61*(1+'FSS 805 Assumptions'!$F59)</f>
        <v>450.20352400000002</v>
      </c>
      <c r="AY61" s="65">
        <f>$AM61*(1+'FSS 805 Assumptions'!$F59)</f>
        <v>450.20352400000002</v>
      </c>
      <c r="AZ61" s="65">
        <f>$AM61*(1+'FSS 805 Assumptions'!$F59)</f>
        <v>450.20352400000002</v>
      </c>
      <c r="BA61" s="59">
        <f t="shared" ref="BA61:BA66" si="32">SUM(AO61:AZ61)</f>
        <v>5402.4422880000002</v>
      </c>
      <c r="BB61" s="172">
        <f>BA61*(1+'FSS 805 Assumptions'!G59)</f>
        <v>5564.5155566399999</v>
      </c>
    </row>
    <row r="62" spans="1:54" x14ac:dyDescent="0.2">
      <c r="A62" s="67" t="s">
        <v>222</v>
      </c>
      <c r="B62" s="65">
        <f>'FSS 805 Assumptions'!$B60</f>
        <v>1200</v>
      </c>
      <c r="C62" s="65">
        <f>'FSS 805 Assumptions'!$B60</f>
        <v>1200</v>
      </c>
      <c r="D62" s="65">
        <f>'FSS 805 Assumptions'!$B60</f>
        <v>1200</v>
      </c>
      <c r="E62" s="65">
        <f>'FSS 805 Assumptions'!$B60</f>
        <v>1200</v>
      </c>
      <c r="F62" s="65">
        <f>'FSS 805 Assumptions'!$B60</f>
        <v>1200</v>
      </c>
      <c r="G62" s="65">
        <f>'FSS 805 Assumptions'!$B60</f>
        <v>1200</v>
      </c>
      <c r="H62" s="65">
        <f>'FSS 805 Assumptions'!$B60</f>
        <v>1200</v>
      </c>
      <c r="I62" s="65">
        <f>'FSS 805 Assumptions'!$B60</f>
        <v>1200</v>
      </c>
      <c r="J62" s="65">
        <f>'FSS 805 Assumptions'!$B60</f>
        <v>1200</v>
      </c>
      <c r="K62" s="65">
        <f>'FSS 805 Assumptions'!$B60</f>
        <v>1200</v>
      </c>
      <c r="L62" s="65">
        <f>'FSS 805 Assumptions'!$B60</f>
        <v>1200</v>
      </c>
      <c r="M62" s="65">
        <f>'FSS 805 Assumptions'!$B60</f>
        <v>1200</v>
      </c>
      <c r="N62" s="156">
        <f t="shared" si="30"/>
        <v>14400</v>
      </c>
      <c r="O62" s="65">
        <f>$M62*(1+'FSS 805 Assumptions'!$D60)</f>
        <v>1236</v>
      </c>
      <c r="P62" s="65">
        <f>$M62*(1+'FSS 805 Assumptions'!$D60)</f>
        <v>1236</v>
      </c>
      <c r="Q62" s="65">
        <f>$M62*(1+'FSS 805 Assumptions'!$D60)</f>
        <v>1236</v>
      </c>
      <c r="R62" s="65">
        <f>$M62*(1+'FSS 805 Assumptions'!$D60)</f>
        <v>1236</v>
      </c>
      <c r="S62" s="65">
        <f>$M62*(1+'FSS 805 Assumptions'!$D60)</f>
        <v>1236</v>
      </c>
      <c r="T62" s="65">
        <f>$M62*(1+'FSS 805 Assumptions'!$D60)</f>
        <v>1236</v>
      </c>
      <c r="U62" s="65">
        <f>$M62*(1+'FSS 805 Assumptions'!$D60)</f>
        <v>1236</v>
      </c>
      <c r="V62" s="65">
        <f>$M62*(1+'FSS 805 Assumptions'!$D60)</f>
        <v>1236</v>
      </c>
      <c r="W62" s="65">
        <f>$M62*(1+'FSS 805 Assumptions'!$D60)</f>
        <v>1236</v>
      </c>
      <c r="X62" s="65">
        <f>$M62*(1+'FSS 805 Assumptions'!$D60)</f>
        <v>1236</v>
      </c>
      <c r="Y62" s="65">
        <f>$M62*(1+'FSS 805 Assumptions'!$D60)</f>
        <v>1236</v>
      </c>
      <c r="Z62" s="65">
        <f>$M62*(1+'FSS 805 Assumptions'!$D60)</f>
        <v>1236</v>
      </c>
      <c r="AA62" s="59">
        <f t="shared" si="31"/>
        <v>14832</v>
      </c>
      <c r="AB62" s="65">
        <f>$Z62*(1+'FSS 805 Assumptions'!$E60)</f>
        <v>1273.08</v>
      </c>
      <c r="AC62" s="65">
        <f>$Z62*(1+'FSS 805 Assumptions'!$E60)</f>
        <v>1273.08</v>
      </c>
      <c r="AD62" s="65">
        <f>$Z62*(1+'FSS 805 Assumptions'!$E60)</f>
        <v>1273.08</v>
      </c>
      <c r="AE62" s="65">
        <f>$Z62*(1+'FSS 805 Assumptions'!$E60)</f>
        <v>1273.08</v>
      </c>
      <c r="AF62" s="65">
        <f>$Z62*(1+'FSS 805 Assumptions'!$E60)</f>
        <v>1273.08</v>
      </c>
      <c r="AG62" s="65">
        <f>$Z62*(1+'FSS 805 Assumptions'!$E60)</f>
        <v>1273.08</v>
      </c>
      <c r="AH62" s="65">
        <f>$Z62*(1+'FSS 805 Assumptions'!$E60)</f>
        <v>1273.08</v>
      </c>
      <c r="AI62" s="65">
        <f>$Z62*(1+'FSS 805 Assumptions'!$E60)</f>
        <v>1273.08</v>
      </c>
      <c r="AJ62" s="65">
        <f>$Z62*(1+'FSS 805 Assumptions'!$E60)</f>
        <v>1273.08</v>
      </c>
      <c r="AK62" s="65">
        <f>$Z62*(1+'FSS 805 Assumptions'!$E60)</f>
        <v>1273.08</v>
      </c>
      <c r="AL62" s="65">
        <f>$Z62*(1+'FSS 805 Assumptions'!$E60)</f>
        <v>1273.08</v>
      </c>
      <c r="AM62" s="65">
        <f>$Z62*(1+'FSS 805 Assumptions'!$E60)</f>
        <v>1273.08</v>
      </c>
      <c r="AN62" s="172">
        <f>AA62*(1+'FSS 805 Assumptions'!E60)</f>
        <v>15276.960000000001</v>
      </c>
      <c r="AO62" s="65">
        <f>$AM62*(1+'FSS 805 Assumptions'!$F60)</f>
        <v>1311.2724000000001</v>
      </c>
      <c r="AP62" s="65">
        <f>$AM62*(1+'FSS 805 Assumptions'!$F60)</f>
        <v>1311.2724000000001</v>
      </c>
      <c r="AQ62" s="65">
        <f>$AM62*(1+'FSS 805 Assumptions'!$F60)</f>
        <v>1311.2724000000001</v>
      </c>
      <c r="AR62" s="65">
        <f>$AM62*(1+'FSS 805 Assumptions'!$F60)</f>
        <v>1311.2724000000001</v>
      </c>
      <c r="AS62" s="65">
        <f>$AM62*(1+'FSS 805 Assumptions'!$F60)</f>
        <v>1311.2724000000001</v>
      </c>
      <c r="AT62" s="65">
        <f>$AM62*(1+'FSS 805 Assumptions'!$F60)</f>
        <v>1311.2724000000001</v>
      </c>
      <c r="AU62" s="65">
        <f>$AM62*(1+'FSS 805 Assumptions'!$F60)</f>
        <v>1311.2724000000001</v>
      </c>
      <c r="AV62" s="65">
        <f>$AM62*(1+'FSS 805 Assumptions'!$F60)</f>
        <v>1311.2724000000001</v>
      </c>
      <c r="AW62" s="65">
        <f>$AM62*(1+'FSS 805 Assumptions'!$F60)</f>
        <v>1311.2724000000001</v>
      </c>
      <c r="AX62" s="65">
        <f>$AM62*(1+'FSS 805 Assumptions'!$F60)</f>
        <v>1311.2724000000001</v>
      </c>
      <c r="AY62" s="65">
        <f>$AM62*(1+'FSS 805 Assumptions'!$F60)</f>
        <v>1311.2724000000001</v>
      </c>
      <c r="AZ62" s="65">
        <f>$AM62*(1+'FSS 805 Assumptions'!$F60)</f>
        <v>1311.2724000000001</v>
      </c>
      <c r="BA62" s="59">
        <f t="shared" si="32"/>
        <v>15735.2688</v>
      </c>
      <c r="BB62" s="172">
        <f>BA62*(1+'FSS 805 Assumptions'!G60)</f>
        <v>16207.326864000001</v>
      </c>
    </row>
    <row r="63" spans="1:54" x14ac:dyDescent="0.2">
      <c r="A63" s="76" t="s">
        <v>220</v>
      </c>
      <c r="B63" s="65">
        <f>'FSS 805 Assumptions'!$B61</f>
        <v>500</v>
      </c>
      <c r="C63" s="65">
        <f>'FSS 805 Assumptions'!$B61</f>
        <v>500</v>
      </c>
      <c r="D63" s="65">
        <f>'FSS 805 Assumptions'!$B61</f>
        <v>500</v>
      </c>
      <c r="E63" s="65">
        <f>'FSS 805 Assumptions'!$B61</f>
        <v>500</v>
      </c>
      <c r="F63" s="65">
        <f>'FSS 805 Assumptions'!$B61</f>
        <v>500</v>
      </c>
      <c r="G63" s="65">
        <f>'FSS 805 Assumptions'!$B61</f>
        <v>500</v>
      </c>
      <c r="H63" s="65">
        <f>'FSS 805 Assumptions'!$B61</f>
        <v>500</v>
      </c>
      <c r="I63" s="65">
        <f>'FSS 805 Assumptions'!$B61</f>
        <v>500</v>
      </c>
      <c r="J63" s="65">
        <f>'FSS 805 Assumptions'!$B61</f>
        <v>500</v>
      </c>
      <c r="K63" s="65">
        <f>'FSS 805 Assumptions'!$B61</f>
        <v>500</v>
      </c>
      <c r="L63" s="65">
        <f>'FSS 805 Assumptions'!$B61</f>
        <v>500</v>
      </c>
      <c r="M63" s="65">
        <f>'FSS 805 Assumptions'!$B61</f>
        <v>500</v>
      </c>
      <c r="N63" s="158">
        <f t="shared" si="30"/>
        <v>6000</v>
      </c>
      <c r="O63" s="65">
        <f>$M63*(1+'FSS 805 Assumptions'!$D61)</f>
        <v>515</v>
      </c>
      <c r="P63" s="65">
        <f>$M63*(1+'FSS 805 Assumptions'!$D61)</f>
        <v>515</v>
      </c>
      <c r="Q63" s="65">
        <f>$M63*(1+'FSS 805 Assumptions'!$D61)</f>
        <v>515</v>
      </c>
      <c r="R63" s="65">
        <f>$M63*(1+'FSS 805 Assumptions'!$D61)</f>
        <v>515</v>
      </c>
      <c r="S63" s="65">
        <f>$M63*(1+'FSS 805 Assumptions'!$D61)</f>
        <v>515</v>
      </c>
      <c r="T63" s="65">
        <f>$M63*(1+'FSS 805 Assumptions'!$D61)</f>
        <v>515</v>
      </c>
      <c r="U63" s="65">
        <f>$M63*(1+'FSS 805 Assumptions'!$D61)</f>
        <v>515</v>
      </c>
      <c r="V63" s="65">
        <f>$M63*(1+'FSS 805 Assumptions'!$D61)</f>
        <v>515</v>
      </c>
      <c r="W63" s="65">
        <f>$M63*(1+'FSS 805 Assumptions'!$D61)</f>
        <v>515</v>
      </c>
      <c r="X63" s="65">
        <f>$M63*(1+'FSS 805 Assumptions'!$D61)</f>
        <v>515</v>
      </c>
      <c r="Y63" s="65">
        <f>$M63*(1+'FSS 805 Assumptions'!$D61)</f>
        <v>515</v>
      </c>
      <c r="Z63" s="65">
        <f>$M63*(1+'FSS 805 Assumptions'!$D61)</f>
        <v>515</v>
      </c>
      <c r="AA63" s="59">
        <f t="shared" si="31"/>
        <v>6180</v>
      </c>
      <c r="AB63" s="65">
        <f>$Z63*(1+'FSS 805 Assumptions'!$E61)</f>
        <v>530.45000000000005</v>
      </c>
      <c r="AC63" s="65">
        <f>$Z63*(1+'FSS 805 Assumptions'!$E61)</f>
        <v>530.45000000000005</v>
      </c>
      <c r="AD63" s="65">
        <f>$Z63*(1+'FSS 805 Assumptions'!$E61)</f>
        <v>530.45000000000005</v>
      </c>
      <c r="AE63" s="65">
        <f>$Z63*(1+'FSS 805 Assumptions'!$E61)</f>
        <v>530.45000000000005</v>
      </c>
      <c r="AF63" s="65">
        <f>$Z63*(1+'FSS 805 Assumptions'!$E61)</f>
        <v>530.45000000000005</v>
      </c>
      <c r="AG63" s="65">
        <f>$Z63*(1+'FSS 805 Assumptions'!$E61)</f>
        <v>530.45000000000005</v>
      </c>
      <c r="AH63" s="65">
        <f>$Z63*(1+'FSS 805 Assumptions'!$E61)</f>
        <v>530.45000000000005</v>
      </c>
      <c r="AI63" s="65">
        <f>$Z63*(1+'FSS 805 Assumptions'!$E61)</f>
        <v>530.45000000000005</v>
      </c>
      <c r="AJ63" s="65">
        <f>$Z63*(1+'FSS 805 Assumptions'!$E61)</f>
        <v>530.45000000000005</v>
      </c>
      <c r="AK63" s="65">
        <f>$Z63*(1+'FSS 805 Assumptions'!$E61)</f>
        <v>530.45000000000005</v>
      </c>
      <c r="AL63" s="65">
        <f>$Z63*(1+'FSS 805 Assumptions'!$E61)</f>
        <v>530.45000000000005</v>
      </c>
      <c r="AM63" s="65">
        <f>$Z63*(1+'FSS 805 Assumptions'!$E61)</f>
        <v>530.45000000000005</v>
      </c>
      <c r="AN63" s="172">
        <f>AA63*(1+'FSS 805 Assumptions'!E61)</f>
        <v>6365.4000000000005</v>
      </c>
      <c r="AO63" s="65">
        <f>$AM63*(1+'FSS 805 Assumptions'!$F61)</f>
        <v>546.36350000000004</v>
      </c>
      <c r="AP63" s="65">
        <f>$AM63*(1+'FSS 805 Assumptions'!$F61)</f>
        <v>546.36350000000004</v>
      </c>
      <c r="AQ63" s="65">
        <f>$AM63*(1+'FSS 805 Assumptions'!$F61)</f>
        <v>546.36350000000004</v>
      </c>
      <c r="AR63" s="65">
        <f>$AM63*(1+'FSS 805 Assumptions'!$F61)</f>
        <v>546.36350000000004</v>
      </c>
      <c r="AS63" s="65">
        <f>$AM63*(1+'FSS 805 Assumptions'!$F61)</f>
        <v>546.36350000000004</v>
      </c>
      <c r="AT63" s="65">
        <f>$AM63*(1+'FSS 805 Assumptions'!$F61)</f>
        <v>546.36350000000004</v>
      </c>
      <c r="AU63" s="65">
        <f>$AM63*(1+'FSS 805 Assumptions'!$F61)</f>
        <v>546.36350000000004</v>
      </c>
      <c r="AV63" s="65">
        <f>$AM63*(1+'FSS 805 Assumptions'!$F61)</f>
        <v>546.36350000000004</v>
      </c>
      <c r="AW63" s="65">
        <f>$AM63*(1+'FSS 805 Assumptions'!$F61)</f>
        <v>546.36350000000004</v>
      </c>
      <c r="AX63" s="65">
        <f>$AM63*(1+'FSS 805 Assumptions'!$F61)</f>
        <v>546.36350000000004</v>
      </c>
      <c r="AY63" s="65">
        <f>$AM63*(1+'FSS 805 Assumptions'!$F61)</f>
        <v>546.36350000000004</v>
      </c>
      <c r="AZ63" s="65">
        <f>$AM63*(1+'FSS 805 Assumptions'!$F61)</f>
        <v>546.36350000000004</v>
      </c>
      <c r="BA63" s="59">
        <f t="shared" si="32"/>
        <v>6556.3620000000019</v>
      </c>
      <c r="BB63" s="172">
        <f>BA63*(1+'FSS 805 Assumptions'!G61)</f>
        <v>6753.0528600000025</v>
      </c>
    </row>
    <row r="64" spans="1:54" x14ac:dyDescent="0.2">
      <c r="A64" s="76" t="s">
        <v>221</v>
      </c>
      <c r="B64" s="65">
        <f>'FSS 805 Assumptions'!$B62</f>
        <v>528</v>
      </c>
      <c r="C64" s="65">
        <f>'FSS 805 Assumptions'!$B62</f>
        <v>528</v>
      </c>
      <c r="D64" s="65">
        <f>'FSS 805 Assumptions'!$B62</f>
        <v>528</v>
      </c>
      <c r="E64" s="65">
        <f>'FSS 805 Assumptions'!$B62</f>
        <v>528</v>
      </c>
      <c r="F64" s="65">
        <f>'FSS 805 Assumptions'!$B62</f>
        <v>528</v>
      </c>
      <c r="G64" s="65">
        <f>'FSS 805 Assumptions'!$B62</f>
        <v>528</v>
      </c>
      <c r="H64" s="65">
        <f>'FSS 805 Assumptions'!$B62</f>
        <v>528</v>
      </c>
      <c r="I64" s="65">
        <f>'FSS 805 Assumptions'!$B62</f>
        <v>528</v>
      </c>
      <c r="J64" s="65">
        <f>'FSS 805 Assumptions'!$B62</f>
        <v>528</v>
      </c>
      <c r="K64" s="65">
        <f>'FSS 805 Assumptions'!$B62</f>
        <v>528</v>
      </c>
      <c r="L64" s="65">
        <f>'FSS 805 Assumptions'!$B62</f>
        <v>528</v>
      </c>
      <c r="M64" s="65">
        <f>'FSS 805 Assumptions'!$B62</f>
        <v>528</v>
      </c>
      <c r="N64" s="158">
        <f t="shared" si="30"/>
        <v>6336</v>
      </c>
      <c r="O64" s="65">
        <f>$M64*(1+'FSS 805 Assumptions'!$D62)</f>
        <v>543.84</v>
      </c>
      <c r="P64" s="65">
        <f>$M64*(1+'FSS 805 Assumptions'!$D62)</f>
        <v>543.84</v>
      </c>
      <c r="Q64" s="65">
        <f>$M64*(1+'FSS 805 Assumptions'!$D62)</f>
        <v>543.84</v>
      </c>
      <c r="R64" s="65">
        <f>$M64*(1+'FSS 805 Assumptions'!$D62)</f>
        <v>543.84</v>
      </c>
      <c r="S64" s="65">
        <f>$M64*(1+'FSS 805 Assumptions'!$D62)</f>
        <v>543.84</v>
      </c>
      <c r="T64" s="65">
        <f>$M64*(1+'FSS 805 Assumptions'!$D62)</f>
        <v>543.84</v>
      </c>
      <c r="U64" s="65">
        <f>$M64*(1+'FSS 805 Assumptions'!$D62)</f>
        <v>543.84</v>
      </c>
      <c r="V64" s="65">
        <f>$M64*(1+'FSS 805 Assumptions'!$D62)</f>
        <v>543.84</v>
      </c>
      <c r="W64" s="65">
        <f>$M64*(1+'FSS 805 Assumptions'!$D62)</f>
        <v>543.84</v>
      </c>
      <c r="X64" s="65">
        <f>$M64*(1+'FSS 805 Assumptions'!$D62)</f>
        <v>543.84</v>
      </c>
      <c r="Y64" s="65">
        <f>$M64*(1+'FSS 805 Assumptions'!$D62)</f>
        <v>543.84</v>
      </c>
      <c r="Z64" s="65">
        <f>$M64*(1+'FSS 805 Assumptions'!$D62)</f>
        <v>543.84</v>
      </c>
      <c r="AA64" s="59">
        <f t="shared" si="31"/>
        <v>6526.0800000000008</v>
      </c>
      <c r="AB64" s="65">
        <f>$Z64*(1+'FSS 805 Assumptions'!$E62)</f>
        <v>560.15520000000004</v>
      </c>
      <c r="AC64" s="65">
        <f>$Z64*(1+'FSS 805 Assumptions'!$E62)</f>
        <v>560.15520000000004</v>
      </c>
      <c r="AD64" s="65">
        <f>$Z64*(1+'FSS 805 Assumptions'!$E62)</f>
        <v>560.15520000000004</v>
      </c>
      <c r="AE64" s="65">
        <f>$Z64*(1+'FSS 805 Assumptions'!$E62)</f>
        <v>560.15520000000004</v>
      </c>
      <c r="AF64" s="65">
        <f>$Z64*(1+'FSS 805 Assumptions'!$E62)</f>
        <v>560.15520000000004</v>
      </c>
      <c r="AG64" s="65">
        <f>$Z64*(1+'FSS 805 Assumptions'!$E62)</f>
        <v>560.15520000000004</v>
      </c>
      <c r="AH64" s="65">
        <f>$Z64*(1+'FSS 805 Assumptions'!$E62)</f>
        <v>560.15520000000004</v>
      </c>
      <c r="AI64" s="65">
        <f>$Z64*(1+'FSS 805 Assumptions'!$E62)</f>
        <v>560.15520000000004</v>
      </c>
      <c r="AJ64" s="65">
        <f>$Z64*(1+'FSS 805 Assumptions'!$E62)</f>
        <v>560.15520000000004</v>
      </c>
      <c r="AK64" s="65">
        <f>$Z64*(1+'FSS 805 Assumptions'!$E62)</f>
        <v>560.15520000000004</v>
      </c>
      <c r="AL64" s="65">
        <f>$Z64*(1+'FSS 805 Assumptions'!$E62)</f>
        <v>560.15520000000004</v>
      </c>
      <c r="AM64" s="65">
        <f>$Z64*(1+'FSS 805 Assumptions'!$E62)</f>
        <v>560.15520000000004</v>
      </c>
      <c r="AN64" s="172">
        <f>AA64*(1+'FSS 805 Assumptions'!E62)</f>
        <v>6721.8624000000009</v>
      </c>
      <c r="AO64" s="65">
        <f>$AM64*(1+'FSS 805 Assumptions'!$F62)</f>
        <v>576.95985600000006</v>
      </c>
      <c r="AP64" s="65">
        <f>$AM64*(1+'FSS 805 Assumptions'!$F62)</f>
        <v>576.95985600000006</v>
      </c>
      <c r="AQ64" s="65">
        <f>$AM64*(1+'FSS 805 Assumptions'!$F62)</f>
        <v>576.95985600000006</v>
      </c>
      <c r="AR64" s="65">
        <f>$AM64*(1+'FSS 805 Assumptions'!$F62)</f>
        <v>576.95985600000006</v>
      </c>
      <c r="AS64" s="65">
        <f>$AM64*(1+'FSS 805 Assumptions'!$F62)</f>
        <v>576.95985600000006</v>
      </c>
      <c r="AT64" s="65">
        <f>$AM64*(1+'FSS 805 Assumptions'!$F62)</f>
        <v>576.95985600000006</v>
      </c>
      <c r="AU64" s="65">
        <f>$AM64*(1+'FSS 805 Assumptions'!$F62)</f>
        <v>576.95985600000006</v>
      </c>
      <c r="AV64" s="65">
        <f>$AM64*(1+'FSS 805 Assumptions'!$F62)</f>
        <v>576.95985600000006</v>
      </c>
      <c r="AW64" s="65">
        <f>$AM64*(1+'FSS 805 Assumptions'!$F62)</f>
        <v>576.95985600000006</v>
      </c>
      <c r="AX64" s="65">
        <f>$AM64*(1+'FSS 805 Assumptions'!$F62)</f>
        <v>576.95985600000006</v>
      </c>
      <c r="AY64" s="65">
        <f>$AM64*(1+'FSS 805 Assumptions'!$F62)</f>
        <v>576.95985600000006</v>
      </c>
      <c r="AZ64" s="65">
        <f>$AM64*(1+'FSS 805 Assumptions'!$F62)</f>
        <v>576.95985600000006</v>
      </c>
      <c r="BA64" s="59">
        <f t="shared" si="32"/>
        <v>6923.5182720000021</v>
      </c>
      <c r="BB64" s="172">
        <f>BA64*(1+'FSS 805 Assumptions'!G62)</f>
        <v>7131.2238201600021</v>
      </c>
    </row>
    <row r="65" spans="1:54" x14ac:dyDescent="0.2">
      <c r="A65" s="76" t="s">
        <v>516</v>
      </c>
      <c r="B65" s="65">
        <f>'FSS 805 Assumptions'!$B$63</f>
        <v>2500</v>
      </c>
      <c r="C65" s="65">
        <f>'FSS 805 Assumptions'!$B$63</f>
        <v>2500</v>
      </c>
      <c r="D65" s="65">
        <f>'FSS 805 Assumptions'!$B$63</f>
        <v>2500</v>
      </c>
      <c r="E65" s="65">
        <f>'FSS 805 Assumptions'!$B$63</f>
        <v>2500</v>
      </c>
      <c r="F65" s="65">
        <f>'FSS 805 Assumptions'!$B$63</f>
        <v>2500</v>
      </c>
      <c r="G65" s="65">
        <f>'FSS 805 Assumptions'!$B$63</f>
        <v>2500</v>
      </c>
      <c r="H65" s="65">
        <f>'FSS 805 Assumptions'!$B$63</f>
        <v>2500</v>
      </c>
      <c r="I65" s="65">
        <f>'FSS 805 Assumptions'!$B$63</f>
        <v>2500</v>
      </c>
      <c r="J65" s="65">
        <f>'FSS 805 Assumptions'!$B$63</f>
        <v>2500</v>
      </c>
      <c r="K65" s="65">
        <f>'FSS 805 Assumptions'!$B$63</f>
        <v>2500</v>
      </c>
      <c r="L65" s="65">
        <f>'FSS 805 Assumptions'!$B$63</f>
        <v>2500</v>
      </c>
      <c r="M65" s="65">
        <f>'FSS 805 Assumptions'!$B$63</f>
        <v>2500</v>
      </c>
      <c r="N65" s="158">
        <f t="shared" si="30"/>
        <v>30000</v>
      </c>
      <c r="O65" s="65">
        <f>$M65*(1+'FSS 805 Assumptions'!$D63)</f>
        <v>2575</v>
      </c>
      <c r="P65" s="65">
        <f>$M65*(1+'FSS 805 Assumptions'!$D63)</f>
        <v>2575</v>
      </c>
      <c r="Q65" s="65">
        <f>$M65*(1+'FSS 805 Assumptions'!$D63)</f>
        <v>2575</v>
      </c>
      <c r="R65" s="65">
        <f>$M65*(1+'FSS 805 Assumptions'!$D63)</f>
        <v>2575</v>
      </c>
      <c r="S65" s="65">
        <f>$M65*(1+'FSS 805 Assumptions'!$D63)</f>
        <v>2575</v>
      </c>
      <c r="T65" s="65">
        <f>$M65*(1+'FSS 805 Assumptions'!$D63)</f>
        <v>2575</v>
      </c>
      <c r="U65" s="65">
        <f>$M65*(1+'FSS 805 Assumptions'!$D63)</f>
        <v>2575</v>
      </c>
      <c r="V65" s="65">
        <f>$M65*(1+'FSS 805 Assumptions'!$D63)</f>
        <v>2575</v>
      </c>
      <c r="W65" s="65">
        <f>$M65*(1+'FSS 805 Assumptions'!$D63)</f>
        <v>2575</v>
      </c>
      <c r="X65" s="65">
        <f>$M65*(1+'FSS 805 Assumptions'!$D63)</f>
        <v>2575</v>
      </c>
      <c r="Y65" s="65">
        <f>$M65*(1+'FSS 805 Assumptions'!$D63)</f>
        <v>2575</v>
      </c>
      <c r="Z65" s="65">
        <f>$M65*(1+'FSS 805 Assumptions'!$D63)</f>
        <v>2575</v>
      </c>
      <c r="AA65" s="59">
        <f t="shared" si="31"/>
        <v>30900</v>
      </c>
      <c r="AB65" s="65">
        <f>$Z65*(1+'FSS 805 Assumptions'!$E63)</f>
        <v>2652.25</v>
      </c>
      <c r="AC65" s="65">
        <f>$Z65*(1+'FSS 805 Assumptions'!$E63)</f>
        <v>2652.25</v>
      </c>
      <c r="AD65" s="65">
        <f>$Z65*(1+'FSS 805 Assumptions'!$E63)</f>
        <v>2652.25</v>
      </c>
      <c r="AE65" s="65">
        <f>$Z65*(1+'FSS 805 Assumptions'!$E63)</f>
        <v>2652.25</v>
      </c>
      <c r="AF65" s="65">
        <f>$Z65*(1+'FSS 805 Assumptions'!$E63)</f>
        <v>2652.25</v>
      </c>
      <c r="AG65" s="65">
        <f>$Z65*(1+'FSS 805 Assumptions'!$E63)</f>
        <v>2652.25</v>
      </c>
      <c r="AH65" s="65">
        <f>$Z65*(1+'FSS 805 Assumptions'!$E63)</f>
        <v>2652.25</v>
      </c>
      <c r="AI65" s="65">
        <f>$Z65*(1+'FSS 805 Assumptions'!$E63)</f>
        <v>2652.25</v>
      </c>
      <c r="AJ65" s="65">
        <f>$Z65*(1+'FSS 805 Assumptions'!$E63)</f>
        <v>2652.25</v>
      </c>
      <c r="AK65" s="65">
        <f>$Z65*(1+'FSS 805 Assumptions'!$E63)</f>
        <v>2652.25</v>
      </c>
      <c r="AL65" s="65">
        <f>$Z65*(1+'FSS 805 Assumptions'!$E63)</f>
        <v>2652.25</v>
      </c>
      <c r="AM65" s="65">
        <f>$Z65*(1+'FSS 805 Assumptions'!$E63)</f>
        <v>2652.25</v>
      </c>
      <c r="AN65" s="172">
        <f>AA65*(1+'FSS 805 Assumptions'!E63)</f>
        <v>31827</v>
      </c>
      <c r="AO65" s="65">
        <f>$AM65*(1+'FSS 805 Assumptions'!$F63)</f>
        <v>2731.8175000000001</v>
      </c>
      <c r="AP65" s="65">
        <f>$AM65*(1+'FSS 805 Assumptions'!$F63)</f>
        <v>2731.8175000000001</v>
      </c>
      <c r="AQ65" s="65">
        <f>$AM65*(1+'FSS 805 Assumptions'!$F63)</f>
        <v>2731.8175000000001</v>
      </c>
      <c r="AR65" s="65">
        <f>$AM65*(1+'FSS 805 Assumptions'!$F63)</f>
        <v>2731.8175000000001</v>
      </c>
      <c r="AS65" s="65">
        <f>$AM65*(1+'FSS 805 Assumptions'!$F63)</f>
        <v>2731.8175000000001</v>
      </c>
      <c r="AT65" s="65">
        <f>$AM65*(1+'FSS 805 Assumptions'!$F63)</f>
        <v>2731.8175000000001</v>
      </c>
      <c r="AU65" s="65">
        <f>$AM65*(1+'FSS 805 Assumptions'!$F63)</f>
        <v>2731.8175000000001</v>
      </c>
      <c r="AV65" s="65">
        <f>$AM65*(1+'FSS 805 Assumptions'!$F63)</f>
        <v>2731.8175000000001</v>
      </c>
      <c r="AW65" s="65">
        <f>$AM65*(1+'FSS 805 Assumptions'!$F63)</f>
        <v>2731.8175000000001</v>
      </c>
      <c r="AX65" s="65">
        <f>$AM65*(1+'FSS 805 Assumptions'!$F63)</f>
        <v>2731.8175000000001</v>
      </c>
      <c r="AY65" s="65">
        <f>$AM65*(1+'FSS 805 Assumptions'!$F63)</f>
        <v>2731.8175000000001</v>
      </c>
      <c r="AZ65" s="65">
        <f>$AM65*(1+'FSS 805 Assumptions'!$F63)</f>
        <v>2731.8175000000001</v>
      </c>
      <c r="BA65" s="59">
        <f t="shared" si="32"/>
        <v>32781.810000000005</v>
      </c>
      <c r="BB65" s="172">
        <f>BA65*(1+'FSS 805 Assumptions'!G63)</f>
        <v>33765.264300000003</v>
      </c>
    </row>
    <row r="66" spans="1:54" x14ac:dyDescent="0.2">
      <c r="A66" s="76" t="s">
        <v>234</v>
      </c>
      <c r="B66" s="65">
        <f>'FSS 805 Assumptions'!$B64</f>
        <v>0</v>
      </c>
      <c r="C66" s="65">
        <f>'FSS 805 Assumptions'!$B64</f>
        <v>0</v>
      </c>
      <c r="D66" s="65">
        <f>'FSS 805 Assumptions'!$B64</f>
        <v>0</v>
      </c>
      <c r="E66" s="65">
        <f>'FSS 805 Assumptions'!$B64</f>
        <v>0</v>
      </c>
      <c r="F66" s="65">
        <f>'FSS 805 Assumptions'!$B64</f>
        <v>0</v>
      </c>
      <c r="G66" s="65">
        <f>'FSS 805 Assumptions'!$B64</f>
        <v>0</v>
      </c>
      <c r="H66" s="65">
        <f>'FSS 805 Assumptions'!$B64</f>
        <v>0</v>
      </c>
      <c r="I66" s="65">
        <f>'FSS 805 Assumptions'!$B64</f>
        <v>0</v>
      </c>
      <c r="J66" s="65">
        <f>'FSS 805 Assumptions'!$B64</f>
        <v>0</v>
      </c>
      <c r="K66" s="65">
        <f>'FSS 805 Assumptions'!$B64</f>
        <v>0</v>
      </c>
      <c r="L66" s="65">
        <f>'FSS 805 Assumptions'!$B64</f>
        <v>0</v>
      </c>
      <c r="M66" s="65">
        <f>'FSS 805 Assumptions'!$B64</f>
        <v>0</v>
      </c>
      <c r="N66" s="158">
        <f t="shared" si="30"/>
        <v>0</v>
      </c>
      <c r="O66" s="65">
        <f>$M66*(1+'FSS 805 Assumptions'!$D64)</f>
        <v>0</v>
      </c>
      <c r="P66" s="65">
        <f>$M66*(1+'FSS 805 Assumptions'!$D64)</f>
        <v>0</v>
      </c>
      <c r="Q66" s="65">
        <f>$M66*(1+'FSS 805 Assumptions'!$D64)</f>
        <v>0</v>
      </c>
      <c r="R66" s="65">
        <f>$M66*(1+'FSS 805 Assumptions'!$D64)</f>
        <v>0</v>
      </c>
      <c r="S66" s="65">
        <f>$M66*(1+'FSS 805 Assumptions'!$D64)</f>
        <v>0</v>
      </c>
      <c r="T66" s="65">
        <f>$M66*(1+'FSS 805 Assumptions'!$D64)</f>
        <v>0</v>
      </c>
      <c r="U66" s="65">
        <f>$M66*(1+'FSS 805 Assumptions'!$D64)</f>
        <v>0</v>
      </c>
      <c r="V66" s="65">
        <f>$M66*(1+'FSS 805 Assumptions'!$D64)</f>
        <v>0</v>
      </c>
      <c r="W66" s="65">
        <f>$M66*(1+'FSS 805 Assumptions'!$D64)</f>
        <v>0</v>
      </c>
      <c r="X66" s="65">
        <f>$M66*(1+'FSS 805 Assumptions'!$D64)</f>
        <v>0</v>
      </c>
      <c r="Y66" s="65">
        <f>$M66*(1+'FSS 805 Assumptions'!$D64)</f>
        <v>0</v>
      </c>
      <c r="Z66" s="65">
        <f>$M66*(1+'FSS 805 Assumptions'!$D64)</f>
        <v>0</v>
      </c>
      <c r="AA66" s="59">
        <f t="shared" si="31"/>
        <v>0</v>
      </c>
      <c r="AB66" s="65">
        <f>$Z66*(1+'FSS 805 Assumptions'!$E64)</f>
        <v>0</v>
      </c>
      <c r="AC66" s="65">
        <f>$Z66*(1+'FSS 805 Assumptions'!$E64)</f>
        <v>0</v>
      </c>
      <c r="AD66" s="65">
        <f>$Z66*(1+'FSS 805 Assumptions'!$E64)</f>
        <v>0</v>
      </c>
      <c r="AE66" s="65">
        <f>$Z66*(1+'FSS 805 Assumptions'!$E64)</f>
        <v>0</v>
      </c>
      <c r="AF66" s="65">
        <f>$Z66*(1+'FSS 805 Assumptions'!$E64)</f>
        <v>0</v>
      </c>
      <c r="AG66" s="65">
        <f>$Z66*(1+'FSS 805 Assumptions'!$E64)</f>
        <v>0</v>
      </c>
      <c r="AH66" s="65">
        <f>$Z66*(1+'FSS 805 Assumptions'!$E64)</f>
        <v>0</v>
      </c>
      <c r="AI66" s="65">
        <f>$Z66*(1+'FSS 805 Assumptions'!$E64)</f>
        <v>0</v>
      </c>
      <c r="AJ66" s="65">
        <f>$Z66*(1+'FSS 805 Assumptions'!$E64)</f>
        <v>0</v>
      </c>
      <c r="AK66" s="65">
        <f>$Z66*(1+'FSS 805 Assumptions'!$E64)</f>
        <v>0</v>
      </c>
      <c r="AL66" s="65">
        <f>$Z66*(1+'FSS 805 Assumptions'!$E64)</f>
        <v>0</v>
      </c>
      <c r="AM66" s="65">
        <f>$Z66*(1+'FSS 805 Assumptions'!$E64)</f>
        <v>0</v>
      </c>
      <c r="AN66" s="172">
        <f>AA66*(1+'FSS 805 Assumptions'!E64)</f>
        <v>0</v>
      </c>
      <c r="AO66" s="65">
        <f>$AM66*(1+'FSS 805 Assumptions'!$F64)</f>
        <v>0</v>
      </c>
      <c r="AP66" s="65">
        <f>$AM66*(1+'FSS 805 Assumptions'!$F64)</f>
        <v>0</v>
      </c>
      <c r="AQ66" s="65">
        <f>$AM66*(1+'FSS 805 Assumptions'!$F64)</f>
        <v>0</v>
      </c>
      <c r="AR66" s="65">
        <f>$AM66*(1+'FSS 805 Assumptions'!$F64)</f>
        <v>0</v>
      </c>
      <c r="AS66" s="65">
        <f>$AM66*(1+'FSS 805 Assumptions'!$F64)</f>
        <v>0</v>
      </c>
      <c r="AT66" s="65">
        <f>$AM66*(1+'FSS 805 Assumptions'!$F64)</f>
        <v>0</v>
      </c>
      <c r="AU66" s="65">
        <f>$AM66*(1+'FSS 805 Assumptions'!$F64)</f>
        <v>0</v>
      </c>
      <c r="AV66" s="65">
        <f>$AM66*(1+'FSS 805 Assumptions'!$F64)</f>
        <v>0</v>
      </c>
      <c r="AW66" s="65">
        <f>$AM66*(1+'FSS 805 Assumptions'!$F64)</f>
        <v>0</v>
      </c>
      <c r="AX66" s="65">
        <f>$AM66*(1+'FSS 805 Assumptions'!$F64)</f>
        <v>0</v>
      </c>
      <c r="AY66" s="65">
        <f>$AM66*(1+'FSS 805 Assumptions'!$F64)</f>
        <v>0</v>
      </c>
      <c r="AZ66" s="65">
        <f>$AM66*(1+'FSS 805 Assumptions'!$F64)</f>
        <v>0</v>
      </c>
      <c r="BA66" s="59">
        <f t="shared" si="32"/>
        <v>0</v>
      </c>
      <c r="BB66" s="172">
        <f>BA66*(1+'FSS 805 Assumptions'!G64)</f>
        <v>0</v>
      </c>
    </row>
    <row r="67" spans="1:54" x14ac:dyDescent="0.2">
      <c r="A67" s="76" t="s">
        <v>413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158">
        <f t="shared" si="30"/>
        <v>0</v>
      </c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59">
        <f t="shared" si="31"/>
        <v>0</v>
      </c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172">
        <f>AA67*(1+'FSS 805 Assumptions'!E65)</f>
        <v>0</v>
      </c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59">
        <f t="shared" ref="BA67" si="33">SUM(AO67:AZ67)</f>
        <v>0</v>
      </c>
      <c r="BB67" s="172">
        <f>BA67*(1+'FSS 805 Assumptions'!G65)</f>
        <v>0</v>
      </c>
    </row>
    <row r="68" spans="1:54" x14ac:dyDescent="0.2">
      <c r="A68" s="76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160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132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174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174"/>
      <c r="BB68" s="174"/>
    </row>
    <row r="69" spans="1:54" s="80" customFormat="1" collapsed="1" x14ac:dyDescent="0.2">
      <c r="A69" s="90" t="s">
        <v>196</v>
      </c>
      <c r="B69" s="81">
        <f>SUM(B61:B68)</f>
        <v>5140</v>
      </c>
      <c r="C69" s="81">
        <f t="shared" ref="C69:BB69" si="34">SUM(C61:C68)</f>
        <v>5140</v>
      </c>
      <c r="D69" s="81">
        <f t="shared" si="34"/>
        <v>5140</v>
      </c>
      <c r="E69" s="81">
        <f t="shared" si="34"/>
        <v>5140</v>
      </c>
      <c r="F69" s="81">
        <f t="shared" si="34"/>
        <v>5140</v>
      </c>
      <c r="G69" s="81">
        <f t="shared" si="34"/>
        <v>5140</v>
      </c>
      <c r="H69" s="81">
        <f t="shared" si="34"/>
        <v>5140</v>
      </c>
      <c r="I69" s="81">
        <f t="shared" si="34"/>
        <v>5140</v>
      </c>
      <c r="J69" s="81">
        <f t="shared" si="34"/>
        <v>5140</v>
      </c>
      <c r="K69" s="81">
        <f t="shared" si="34"/>
        <v>5140</v>
      </c>
      <c r="L69" s="81">
        <f t="shared" si="34"/>
        <v>5140</v>
      </c>
      <c r="M69" s="81">
        <f t="shared" si="34"/>
        <v>5140</v>
      </c>
      <c r="N69" s="81">
        <f t="shared" si="34"/>
        <v>61680</v>
      </c>
      <c r="O69" s="81">
        <f t="shared" si="34"/>
        <v>5294.2000000000007</v>
      </c>
      <c r="P69" s="81">
        <f t="shared" si="34"/>
        <v>5294.2000000000007</v>
      </c>
      <c r="Q69" s="81">
        <f t="shared" si="34"/>
        <v>5294.2000000000007</v>
      </c>
      <c r="R69" s="81">
        <f t="shared" si="34"/>
        <v>5294.2000000000007</v>
      </c>
      <c r="S69" s="81">
        <f t="shared" si="34"/>
        <v>5294.2000000000007</v>
      </c>
      <c r="T69" s="81">
        <f t="shared" si="34"/>
        <v>5294.2000000000007</v>
      </c>
      <c r="U69" s="81">
        <f t="shared" si="34"/>
        <v>5294.2000000000007</v>
      </c>
      <c r="V69" s="81">
        <f t="shared" si="34"/>
        <v>5294.2000000000007</v>
      </c>
      <c r="W69" s="81">
        <f t="shared" si="34"/>
        <v>5294.2000000000007</v>
      </c>
      <c r="X69" s="81">
        <f t="shared" si="34"/>
        <v>5294.2000000000007</v>
      </c>
      <c r="Y69" s="81">
        <f t="shared" si="34"/>
        <v>5294.2000000000007</v>
      </c>
      <c r="Z69" s="81">
        <f t="shared" si="34"/>
        <v>5294.2000000000007</v>
      </c>
      <c r="AA69" s="81">
        <f t="shared" si="34"/>
        <v>63530.400000000001</v>
      </c>
      <c r="AB69" s="81">
        <f t="shared" si="34"/>
        <v>5453.0259999999998</v>
      </c>
      <c r="AC69" s="81">
        <f t="shared" si="34"/>
        <v>5453.0259999999998</v>
      </c>
      <c r="AD69" s="81">
        <f t="shared" si="34"/>
        <v>5453.0259999999998</v>
      </c>
      <c r="AE69" s="81">
        <f t="shared" si="34"/>
        <v>5453.0259999999998</v>
      </c>
      <c r="AF69" s="81">
        <f t="shared" si="34"/>
        <v>5453.0259999999998</v>
      </c>
      <c r="AG69" s="81">
        <f t="shared" si="34"/>
        <v>5453.0259999999998</v>
      </c>
      <c r="AH69" s="81">
        <f t="shared" si="34"/>
        <v>5453.0259999999998</v>
      </c>
      <c r="AI69" s="81">
        <f t="shared" si="34"/>
        <v>5453.0259999999998</v>
      </c>
      <c r="AJ69" s="81">
        <f t="shared" si="34"/>
        <v>5453.0259999999998</v>
      </c>
      <c r="AK69" s="81">
        <f t="shared" si="34"/>
        <v>5453.0259999999998</v>
      </c>
      <c r="AL69" s="81">
        <f t="shared" si="34"/>
        <v>5453.0259999999998</v>
      </c>
      <c r="AM69" s="81">
        <f t="shared" si="34"/>
        <v>5453.0259999999998</v>
      </c>
      <c r="AN69" s="81">
        <f t="shared" si="34"/>
        <v>65436.312000000005</v>
      </c>
      <c r="AO69" s="81">
        <f t="shared" si="34"/>
        <v>5616.6167800000003</v>
      </c>
      <c r="AP69" s="81">
        <f t="shared" si="34"/>
        <v>5616.6167800000003</v>
      </c>
      <c r="AQ69" s="81">
        <f t="shared" si="34"/>
        <v>5616.6167800000003</v>
      </c>
      <c r="AR69" s="81">
        <f t="shared" si="34"/>
        <v>5616.6167800000003</v>
      </c>
      <c r="AS69" s="81">
        <f t="shared" si="34"/>
        <v>5616.6167800000003</v>
      </c>
      <c r="AT69" s="81">
        <f t="shared" si="34"/>
        <v>5616.6167800000003</v>
      </c>
      <c r="AU69" s="81">
        <f t="shared" si="34"/>
        <v>5616.6167800000003</v>
      </c>
      <c r="AV69" s="81">
        <f t="shared" si="34"/>
        <v>5616.6167800000003</v>
      </c>
      <c r="AW69" s="81">
        <f t="shared" si="34"/>
        <v>5616.6167800000003</v>
      </c>
      <c r="AX69" s="81">
        <f t="shared" si="34"/>
        <v>5616.6167800000003</v>
      </c>
      <c r="AY69" s="81">
        <f t="shared" si="34"/>
        <v>5616.6167800000003</v>
      </c>
      <c r="AZ69" s="81">
        <f t="shared" si="34"/>
        <v>5616.6167800000003</v>
      </c>
      <c r="BA69" s="81">
        <f t="shared" si="34"/>
        <v>67399.401360000018</v>
      </c>
      <c r="BB69" s="81">
        <f t="shared" si="34"/>
        <v>69421.383400800012</v>
      </c>
    </row>
    <row r="70" spans="1:54" x14ac:dyDescent="0.2">
      <c r="A70" s="76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9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168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168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168"/>
      <c r="BB70" s="168"/>
    </row>
    <row r="71" spans="1:54" x14ac:dyDescent="0.2">
      <c r="A71" s="74" t="s">
        <v>97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159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168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168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168"/>
      <c r="BB71" s="168"/>
    </row>
    <row r="72" spans="1:54" x14ac:dyDescent="0.2">
      <c r="A72" s="76" t="s">
        <v>542</v>
      </c>
      <c r="B72" s="65">
        <f>'FSS 805 Assumptions'!$B67</f>
        <v>25266</v>
      </c>
      <c r="C72" s="65">
        <f>'FSS 805 Assumptions'!$B67</f>
        <v>25266</v>
      </c>
      <c r="D72" s="65">
        <f>'FSS 805 Assumptions'!$B67</f>
        <v>25266</v>
      </c>
      <c r="E72" s="65">
        <f>'FSS 805 Assumptions'!$B67</f>
        <v>25266</v>
      </c>
      <c r="F72" s="65">
        <f>'FSS 805 Assumptions'!$B67</f>
        <v>25266</v>
      </c>
      <c r="G72" s="65">
        <f>'FSS 805 Assumptions'!$B67</f>
        <v>25266</v>
      </c>
      <c r="H72" s="65">
        <f>'FSS 805 Assumptions'!$B67</f>
        <v>25266</v>
      </c>
      <c r="I72" s="65">
        <f>'FSS 805 Assumptions'!$B67</f>
        <v>25266</v>
      </c>
      <c r="J72" s="65">
        <f>'FSS 805 Assumptions'!$B67</f>
        <v>25266</v>
      </c>
      <c r="K72" s="65">
        <f>'FSS 805 Assumptions'!$B67</f>
        <v>25266</v>
      </c>
      <c r="L72" s="65">
        <f>'FSS 805 Assumptions'!$B67</f>
        <v>25266</v>
      </c>
      <c r="M72" s="65">
        <f>'FSS 805 Assumptions'!$B67</f>
        <v>25266</v>
      </c>
      <c r="N72" s="156">
        <f t="shared" ref="N72:N77" si="35">SUM(B72:M72)</f>
        <v>303192</v>
      </c>
      <c r="O72" s="65">
        <f>$M72*(1+'FSS 805 Assumptions'!$D67)</f>
        <v>26529.300000000003</v>
      </c>
      <c r="P72" s="65">
        <f>$M72*(1+'FSS 805 Assumptions'!$D67)</f>
        <v>26529.300000000003</v>
      </c>
      <c r="Q72" s="65">
        <f>$M72*(1+'FSS 805 Assumptions'!$D67)</f>
        <v>26529.300000000003</v>
      </c>
      <c r="R72" s="65">
        <f>$M72*(1+'FSS 805 Assumptions'!$D67)</f>
        <v>26529.300000000003</v>
      </c>
      <c r="S72" s="65">
        <f>$M72*(1+'FSS 805 Assumptions'!$D67)</f>
        <v>26529.300000000003</v>
      </c>
      <c r="T72" s="65">
        <f>$M72*(1+'FSS 805 Assumptions'!$D67)</f>
        <v>26529.300000000003</v>
      </c>
      <c r="U72" s="65">
        <f>$M72*(1+'FSS 805 Assumptions'!$D67)</f>
        <v>26529.300000000003</v>
      </c>
      <c r="V72" s="65">
        <f>$M72*(1+'FSS 805 Assumptions'!$D67)</f>
        <v>26529.300000000003</v>
      </c>
      <c r="W72" s="65">
        <f>$M72*(1+'FSS 805 Assumptions'!$D67)</f>
        <v>26529.300000000003</v>
      </c>
      <c r="X72" s="65">
        <f>$M72*(1+'FSS 805 Assumptions'!$D67)</f>
        <v>26529.300000000003</v>
      </c>
      <c r="Y72" s="65">
        <f>$M72*(1+'FSS 805 Assumptions'!$D67)</f>
        <v>26529.300000000003</v>
      </c>
      <c r="Z72" s="65">
        <f>$M72*(1+'FSS 805 Assumptions'!$D67)</f>
        <v>26529.300000000003</v>
      </c>
      <c r="AA72" s="59">
        <f>SUM(O72:Z72)</f>
        <v>318351.59999999992</v>
      </c>
      <c r="AB72" s="65">
        <f>$Z72*(1+'FSS 805 Assumptions'!$E67)</f>
        <v>27855.765000000003</v>
      </c>
      <c r="AC72" s="65">
        <f>$Z72*(1+'FSS 805 Assumptions'!$E67)</f>
        <v>27855.765000000003</v>
      </c>
      <c r="AD72" s="65">
        <f>$Z72*(1+'FSS 805 Assumptions'!$E67)</f>
        <v>27855.765000000003</v>
      </c>
      <c r="AE72" s="65">
        <f>$Z72*(1+'FSS 805 Assumptions'!$E67)</f>
        <v>27855.765000000003</v>
      </c>
      <c r="AF72" s="65">
        <f>$Z72*(1+'FSS 805 Assumptions'!$E67)</f>
        <v>27855.765000000003</v>
      </c>
      <c r="AG72" s="65">
        <f>$Z72*(1+'FSS 805 Assumptions'!$E67)</f>
        <v>27855.765000000003</v>
      </c>
      <c r="AH72" s="65">
        <f>$Z72*(1+'FSS 805 Assumptions'!$E67)</f>
        <v>27855.765000000003</v>
      </c>
      <c r="AI72" s="65">
        <f>$Z72*(1+'FSS 805 Assumptions'!$E67)</f>
        <v>27855.765000000003</v>
      </c>
      <c r="AJ72" s="65">
        <f>$Z72*(1+'FSS 805 Assumptions'!$E67)</f>
        <v>27855.765000000003</v>
      </c>
      <c r="AK72" s="65">
        <f>$Z72*(1+'FSS 805 Assumptions'!$E67)</f>
        <v>27855.765000000003</v>
      </c>
      <c r="AL72" s="65">
        <f>$Z72*(1+'FSS 805 Assumptions'!$E67)</f>
        <v>27855.765000000003</v>
      </c>
      <c r="AM72" s="65">
        <f>$Z72*(1+'FSS 805 Assumptions'!$E67)</f>
        <v>27855.765000000003</v>
      </c>
      <c r="AN72" s="172">
        <f>AA72*(1+'FSS 805 Assumptions'!E67)</f>
        <v>334269.17999999993</v>
      </c>
      <c r="AO72" s="65">
        <f>$AM72*(1+'FSS 805 Assumptions'!$F67)</f>
        <v>29248.553250000004</v>
      </c>
      <c r="AP72" s="65">
        <f>$AM72*(1+'FSS 805 Assumptions'!$F67)</f>
        <v>29248.553250000004</v>
      </c>
      <c r="AQ72" s="65">
        <f>$AM72*(1+'FSS 805 Assumptions'!$F67)</f>
        <v>29248.553250000004</v>
      </c>
      <c r="AR72" s="65">
        <f>$AM72*(1+'FSS 805 Assumptions'!$F67)</f>
        <v>29248.553250000004</v>
      </c>
      <c r="AS72" s="65">
        <f>$AM72*(1+'FSS 805 Assumptions'!$F67)</f>
        <v>29248.553250000004</v>
      </c>
      <c r="AT72" s="65">
        <f>$AM72*(1+'FSS 805 Assumptions'!$F67)</f>
        <v>29248.553250000004</v>
      </c>
      <c r="AU72" s="65">
        <f>$AM72*(1+'FSS 805 Assumptions'!$F67)</f>
        <v>29248.553250000004</v>
      </c>
      <c r="AV72" s="65">
        <f>$AM72*(1+'FSS 805 Assumptions'!$F67)</f>
        <v>29248.553250000004</v>
      </c>
      <c r="AW72" s="65">
        <f>$AM72*(1+'FSS 805 Assumptions'!$F67)</f>
        <v>29248.553250000004</v>
      </c>
      <c r="AX72" s="65">
        <f>$AM72*(1+'FSS 805 Assumptions'!$F67)</f>
        <v>29248.553250000004</v>
      </c>
      <c r="AY72" s="65">
        <f>$AM72*(1+'FSS 805 Assumptions'!$F67)</f>
        <v>29248.553250000004</v>
      </c>
      <c r="AZ72" s="65">
        <f>$AM72*(1+'FSS 805 Assumptions'!$F67)</f>
        <v>29248.553250000004</v>
      </c>
      <c r="BA72" s="59">
        <f t="shared" ref="BA72:BA77" si="36">SUM(AO72:AZ72)</f>
        <v>350982.63900000002</v>
      </c>
      <c r="BB72" s="172">
        <f>BA72*(1+'FSS 805 Assumptions'!G67)</f>
        <v>368531.77095000003</v>
      </c>
    </row>
    <row r="73" spans="1:54" x14ac:dyDescent="0.2">
      <c r="A73" s="76" t="s">
        <v>537</v>
      </c>
      <c r="B73" s="65">
        <f>'FSS 805 Assumptions'!$B68</f>
        <v>487</v>
      </c>
      <c r="C73" s="65">
        <f>'FSS 805 Assumptions'!$B68</f>
        <v>487</v>
      </c>
      <c r="D73" s="65">
        <f>'FSS 805 Assumptions'!$B68</f>
        <v>487</v>
      </c>
      <c r="E73" s="65">
        <f>'FSS 805 Assumptions'!$B68</f>
        <v>487</v>
      </c>
      <c r="F73" s="65">
        <f>'FSS 805 Assumptions'!$B68</f>
        <v>487</v>
      </c>
      <c r="G73" s="65">
        <f>'FSS 805 Assumptions'!$B68</f>
        <v>487</v>
      </c>
      <c r="H73" s="65">
        <f>'FSS 805 Assumptions'!$B68</f>
        <v>487</v>
      </c>
      <c r="I73" s="65">
        <f>'FSS 805 Assumptions'!$B68</f>
        <v>487</v>
      </c>
      <c r="J73" s="65">
        <f>'FSS 805 Assumptions'!$B68</f>
        <v>487</v>
      </c>
      <c r="K73" s="65">
        <f>'FSS 805 Assumptions'!$B68</f>
        <v>487</v>
      </c>
      <c r="L73" s="65">
        <f>'FSS 805 Assumptions'!$B68</f>
        <v>487</v>
      </c>
      <c r="M73" s="65">
        <f>'FSS 805 Assumptions'!$B68</f>
        <v>487</v>
      </c>
      <c r="N73" s="156">
        <f t="shared" si="35"/>
        <v>5844</v>
      </c>
      <c r="O73" s="65">
        <f>$M73*(1+'FSS 805 Assumptions'!$D68)</f>
        <v>511.35</v>
      </c>
      <c r="P73" s="65">
        <f>$M73*(1+'FSS 805 Assumptions'!$D68)</f>
        <v>511.35</v>
      </c>
      <c r="Q73" s="65">
        <f>$M73*(1+'FSS 805 Assumptions'!$D68)</f>
        <v>511.35</v>
      </c>
      <c r="R73" s="65">
        <f>$M73*(1+'FSS 805 Assumptions'!$D68)</f>
        <v>511.35</v>
      </c>
      <c r="S73" s="65">
        <f>$M73*(1+'FSS 805 Assumptions'!$D68)</f>
        <v>511.35</v>
      </c>
      <c r="T73" s="65">
        <f>$M73*(1+'FSS 805 Assumptions'!$D68)</f>
        <v>511.35</v>
      </c>
      <c r="U73" s="65">
        <f>$M73*(1+'FSS 805 Assumptions'!$D68)</f>
        <v>511.35</v>
      </c>
      <c r="V73" s="65">
        <f>$M73*(1+'FSS 805 Assumptions'!$D68)</f>
        <v>511.35</v>
      </c>
      <c r="W73" s="65">
        <f>$M73*(1+'FSS 805 Assumptions'!$D68)</f>
        <v>511.35</v>
      </c>
      <c r="X73" s="65">
        <f>$M73*(1+'FSS 805 Assumptions'!$D68)</f>
        <v>511.35</v>
      </c>
      <c r="Y73" s="65">
        <f>$M73*(1+'FSS 805 Assumptions'!$D68)</f>
        <v>511.35</v>
      </c>
      <c r="Z73" s="65">
        <f>$M73*(1+'FSS 805 Assumptions'!$D68)</f>
        <v>511.35</v>
      </c>
      <c r="AA73" s="59">
        <f t="shared" ref="AA73:AA77" si="37">SUM(O73:Z73)</f>
        <v>6136.2000000000007</v>
      </c>
      <c r="AB73" s="65">
        <f>$Z73*(1+'FSS 805 Assumptions'!$E68)</f>
        <v>536.91750000000002</v>
      </c>
      <c r="AC73" s="65">
        <f>$Z73*(1+'FSS 805 Assumptions'!$E68)</f>
        <v>536.91750000000002</v>
      </c>
      <c r="AD73" s="65">
        <f>$Z73*(1+'FSS 805 Assumptions'!$E68)</f>
        <v>536.91750000000002</v>
      </c>
      <c r="AE73" s="65">
        <f>$Z73*(1+'FSS 805 Assumptions'!$E68)</f>
        <v>536.91750000000002</v>
      </c>
      <c r="AF73" s="65">
        <f>$Z73*(1+'FSS 805 Assumptions'!$E68)</f>
        <v>536.91750000000002</v>
      </c>
      <c r="AG73" s="65">
        <f>$Z73*(1+'FSS 805 Assumptions'!$E68)</f>
        <v>536.91750000000002</v>
      </c>
      <c r="AH73" s="65">
        <f>$Z73*(1+'FSS 805 Assumptions'!$E68)</f>
        <v>536.91750000000002</v>
      </c>
      <c r="AI73" s="65">
        <f>$Z73*(1+'FSS 805 Assumptions'!$E68)</f>
        <v>536.91750000000002</v>
      </c>
      <c r="AJ73" s="65">
        <f>$Z73*(1+'FSS 805 Assumptions'!$E68)</f>
        <v>536.91750000000002</v>
      </c>
      <c r="AK73" s="65">
        <f>$Z73*(1+'FSS 805 Assumptions'!$E68)</f>
        <v>536.91750000000002</v>
      </c>
      <c r="AL73" s="65">
        <f>$Z73*(1+'FSS 805 Assumptions'!$E68)</f>
        <v>536.91750000000002</v>
      </c>
      <c r="AM73" s="65">
        <f>$Z73*(1+'FSS 805 Assumptions'!$E68)</f>
        <v>536.91750000000002</v>
      </c>
      <c r="AN73" s="172">
        <f>AA73*(1+'FSS 805 Assumptions'!E68)</f>
        <v>6443.0100000000011</v>
      </c>
      <c r="AO73" s="65">
        <f>$AM73*(1+'FSS 805 Assumptions'!$F68)</f>
        <v>563.763375</v>
      </c>
      <c r="AP73" s="65">
        <f>$AM73*(1+'FSS 805 Assumptions'!$F68)</f>
        <v>563.763375</v>
      </c>
      <c r="AQ73" s="65">
        <f>$AM73*(1+'FSS 805 Assumptions'!$F68)</f>
        <v>563.763375</v>
      </c>
      <c r="AR73" s="65">
        <f>$AM73*(1+'FSS 805 Assumptions'!$F68)</f>
        <v>563.763375</v>
      </c>
      <c r="AS73" s="65">
        <f>$AM73*(1+'FSS 805 Assumptions'!$F68)</f>
        <v>563.763375</v>
      </c>
      <c r="AT73" s="65">
        <f>$AM73*(1+'FSS 805 Assumptions'!$F68)</f>
        <v>563.763375</v>
      </c>
      <c r="AU73" s="65">
        <f>$AM73*(1+'FSS 805 Assumptions'!$F68)</f>
        <v>563.763375</v>
      </c>
      <c r="AV73" s="65">
        <f>$AM73*(1+'FSS 805 Assumptions'!$F68)</f>
        <v>563.763375</v>
      </c>
      <c r="AW73" s="65">
        <f>$AM73*(1+'FSS 805 Assumptions'!$F68)</f>
        <v>563.763375</v>
      </c>
      <c r="AX73" s="65">
        <f>$AM73*(1+'FSS 805 Assumptions'!$F68)</f>
        <v>563.763375</v>
      </c>
      <c r="AY73" s="65">
        <f>$AM73*(1+'FSS 805 Assumptions'!$F68)</f>
        <v>563.763375</v>
      </c>
      <c r="AZ73" s="65">
        <f>$AM73*(1+'FSS 805 Assumptions'!$F68)</f>
        <v>563.763375</v>
      </c>
      <c r="BA73" s="59">
        <f t="shared" si="36"/>
        <v>6765.1605000000018</v>
      </c>
      <c r="BB73" s="172">
        <f>BA73*(1+'FSS 805 Assumptions'!G68)</f>
        <v>7103.4185250000019</v>
      </c>
    </row>
    <row r="74" spans="1:54" x14ac:dyDescent="0.2">
      <c r="A74" s="76" t="s">
        <v>229</v>
      </c>
      <c r="B74" s="65">
        <f>'FSS 805 Assumptions'!$B69</f>
        <v>275</v>
      </c>
      <c r="C74" s="65">
        <f>'FSS 805 Assumptions'!$B69</f>
        <v>275</v>
      </c>
      <c r="D74" s="65">
        <f>'FSS 805 Assumptions'!$B69</f>
        <v>275</v>
      </c>
      <c r="E74" s="65">
        <f>'FSS 805 Assumptions'!$B69</f>
        <v>275</v>
      </c>
      <c r="F74" s="65">
        <f>'FSS 805 Assumptions'!$B69</f>
        <v>275</v>
      </c>
      <c r="G74" s="65">
        <f>'FSS 805 Assumptions'!$B69</f>
        <v>275</v>
      </c>
      <c r="H74" s="65">
        <f>'FSS 805 Assumptions'!$B69</f>
        <v>275</v>
      </c>
      <c r="I74" s="65">
        <f>'FSS 805 Assumptions'!$B69</f>
        <v>275</v>
      </c>
      <c r="J74" s="65">
        <f>'FSS 805 Assumptions'!$B69</f>
        <v>275</v>
      </c>
      <c r="K74" s="65">
        <f>'FSS 805 Assumptions'!$B69</f>
        <v>275</v>
      </c>
      <c r="L74" s="65">
        <f>'FSS 805 Assumptions'!$B69</f>
        <v>275</v>
      </c>
      <c r="M74" s="65">
        <f>'FSS 805 Assumptions'!$B69</f>
        <v>275</v>
      </c>
      <c r="N74" s="156">
        <f t="shared" si="35"/>
        <v>3300</v>
      </c>
      <c r="O74" s="65">
        <f>$M74*(1+'FSS 805 Assumptions'!$D69)</f>
        <v>288.75</v>
      </c>
      <c r="P74" s="65">
        <f>$M74*(1+'FSS 805 Assumptions'!$D69)</f>
        <v>288.75</v>
      </c>
      <c r="Q74" s="65">
        <f>$M74*(1+'FSS 805 Assumptions'!$D69)</f>
        <v>288.75</v>
      </c>
      <c r="R74" s="65">
        <f>$M74*(1+'FSS 805 Assumptions'!$D69)</f>
        <v>288.75</v>
      </c>
      <c r="S74" s="65">
        <f>$M74*(1+'FSS 805 Assumptions'!$D69)</f>
        <v>288.75</v>
      </c>
      <c r="T74" s="65">
        <f>$M74*(1+'FSS 805 Assumptions'!$D69)</f>
        <v>288.75</v>
      </c>
      <c r="U74" s="65">
        <f>$M74*(1+'FSS 805 Assumptions'!$D69)</f>
        <v>288.75</v>
      </c>
      <c r="V74" s="65">
        <f>$M74*(1+'FSS 805 Assumptions'!$D69)</f>
        <v>288.75</v>
      </c>
      <c r="W74" s="65">
        <f>$M74*(1+'FSS 805 Assumptions'!$D69)</f>
        <v>288.75</v>
      </c>
      <c r="X74" s="65">
        <f>$M74*(1+'FSS 805 Assumptions'!$D69)</f>
        <v>288.75</v>
      </c>
      <c r="Y74" s="65">
        <f>$M74*(1+'FSS 805 Assumptions'!$D69)</f>
        <v>288.75</v>
      </c>
      <c r="Z74" s="65">
        <f>$M74*(1+'FSS 805 Assumptions'!$D69)</f>
        <v>288.75</v>
      </c>
      <c r="AA74" s="59">
        <f t="shared" si="37"/>
        <v>3465</v>
      </c>
      <c r="AB74" s="65">
        <f>$Z74*(1+'FSS 805 Assumptions'!$E69)</f>
        <v>303.1875</v>
      </c>
      <c r="AC74" s="65">
        <f>$Z74*(1+'FSS 805 Assumptions'!$E69)</f>
        <v>303.1875</v>
      </c>
      <c r="AD74" s="65">
        <f>$Z74*(1+'FSS 805 Assumptions'!$E69)</f>
        <v>303.1875</v>
      </c>
      <c r="AE74" s="65">
        <f>$Z74*(1+'FSS 805 Assumptions'!$E69)</f>
        <v>303.1875</v>
      </c>
      <c r="AF74" s="65">
        <f>$Z74*(1+'FSS 805 Assumptions'!$E69)</f>
        <v>303.1875</v>
      </c>
      <c r="AG74" s="65">
        <f>$Z74*(1+'FSS 805 Assumptions'!$E69)</f>
        <v>303.1875</v>
      </c>
      <c r="AH74" s="65">
        <f>$Z74*(1+'FSS 805 Assumptions'!$E69)</f>
        <v>303.1875</v>
      </c>
      <c r="AI74" s="65">
        <f>$Z74*(1+'FSS 805 Assumptions'!$E69)</f>
        <v>303.1875</v>
      </c>
      <c r="AJ74" s="65">
        <f>$Z74*(1+'FSS 805 Assumptions'!$E69)</f>
        <v>303.1875</v>
      </c>
      <c r="AK74" s="65">
        <f>$Z74*(1+'FSS 805 Assumptions'!$E69)</f>
        <v>303.1875</v>
      </c>
      <c r="AL74" s="65">
        <f>$Z74*(1+'FSS 805 Assumptions'!$E69)</f>
        <v>303.1875</v>
      </c>
      <c r="AM74" s="65">
        <f>$Z74*(1+'FSS 805 Assumptions'!$E69)</f>
        <v>303.1875</v>
      </c>
      <c r="AN74" s="172">
        <f>AA74*(1+'FSS 805 Assumptions'!E69)</f>
        <v>3638.25</v>
      </c>
      <c r="AO74" s="65">
        <f>$AM74*(1+'FSS 805 Assumptions'!$F69)</f>
        <v>318.34687500000001</v>
      </c>
      <c r="AP74" s="65">
        <f>$AM74*(1+'FSS 805 Assumptions'!$F69)</f>
        <v>318.34687500000001</v>
      </c>
      <c r="AQ74" s="65">
        <f>$AM74*(1+'FSS 805 Assumptions'!$F69)</f>
        <v>318.34687500000001</v>
      </c>
      <c r="AR74" s="65">
        <f>$AM74*(1+'FSS 805 Assumptions'!$F69)</f>
        <v>318.34687500000001</v>
      </c>
      <c r="AS74" s="65">
        <f>$AM74*(1+'FSS 805 Assumptions'!$F69)</f>
        <v>318.34687500000001</v>
      </c>
      <c r="AT74" s="65">
        <f>$AM74*(1+'FSS 805 Assumptions'!$F69)</f>
        <v>318.34687500000001</v>
      </c>
      <c r="AU74" s="65">
        <f>$AM74*(1+'FSS 805 Assumptions'!$F69)</f>
        <v>318.34687500000001</v>
      </c>
      <c r="AV74" s="65">
        <f>$AM74*(1+'FSS 805 Assumptions'!$F69)</f>
        <v>318.34687500000001</v>
      </c>
      <c r="AW74" s="65">
        <f>$AM74*(1+'FSS 805 Assumptions'!$F69)</f>
        <v>318.34687500000001</v>
      </c>
      <c r="AX74" s="65">
        <f>$AM74*(1+'FSS 805 Assumptions'!$F69)</f>
        <v>318.34687500000001</v>
      </c>
      <c r="AY74" s="65">
        <f>$AM74*(1+'FSS 805 Assumptions'!$F69)</f>
        <v>318.34687500000001</v>
      </c>
      <c r="AZ74" s="65">
        <f>$AM74*(1+'FSS 805 Assumptions'!$F69)</f>
        <v>318.34687500000001</v>
      </c>
      <c r="BA74" s="59">
        <f t="shared" si="36"/>
        <v>3820.1625000000008</v>
      </c>
      <c r="BB74" s="172">
        <f>BA74*(1+'FSS 805 Assumptions'!G69)</f>
        <v>4011.1706250000011</v>
      </c>
    </row>
    <row r="75" spans="1:54" x14ac:dyDescent="0.2">
      <c r="A75" s="76" t="s">
        <v>538</v>
      </c>
      <c r="B75" s="65">
        <f>'FSS 805 Assumptions'!$B70</f>
        <v>167</v>
      </c>
      <c r="C75" s="65">
        <f>'FSS 805 Assumptions'!$B70</f>
        <v>167</v>
      </c>
      <c r="D75" s="65">
        <f>'FSS 805 Assumptions'!$B70</f>
        <v>167</v>
      </c>
      <c r="E75" s="65">
        <f>'FSS 805 Assumptions'!$B70</f>
        <v>167</v>
      </c>
      <c r="F75" s="65">
        <f>'FSS 805 Assumptions'!$B70</f>
        <v>167</v>
      </c>
      <c r="G75" s="65">
        <f>'FSS 805 Assumptions'!$B70</f>
        <v>167</v>
      </c>
      <c r="H75" s="65">
        <f>'FSS 805 Assumptions'!$B70</f>
        <v>167</v>
      </c>
      <c r="I75" s="65">
        <f>'FSS 805 Assumptions'!$B70</f>
        <v>167</v>
      </c>
      <c r="J75" s="65">
        <f>'FSS 805 Assumptions'!$B70</f>
        <v>167</v>
      </c>
      <c r="K75" s="65">
        <f>'FSS 805 Assumptions'!$B70</f>
        <v>167</v>
      </c>
      <c r="L75" s="65">
        <f>'FSS 805 Assumptions'!$B70</f>
        <v>167</v>
      </c>
      <c r="M75" s="65">
        <f>'FSS 805 Assumptions'!$B70</f>
        <v>167</v>
      </c>
      <c r="N75" s="156">
        <f t="shared" si="35"/>
        <v>2004</v>
      </c>
      <c r="O75" s="65">
        <f>$M75*(1+'FSS 805 Assumptions'!$D70)</f>
        <v>175.35</v>
      </c>
      <c r="P75" s="65">
        <f>$M75*(1+'FSS 805 Assumptions'!$D70)</f>
        <v>175.35</v>
      </c>
      <c r="Q75" s="65">
        <f>$M75*(1+'FSS 805 Assumptions'!$D70)</f>
        <v>175.35</v>
      </c>
      <c r="R75" s="65">
        <f>$M75*(1+'FSS 805 Assumptions'!$D70)</f>
        <v>175.35</v>
      </c>
      <c r="S75" s="65">
        <f>$M75*(1+'FSS 805 Assumptions'!$D70)</f>
        <v>175.35</v>
      </c>
      <c r="T75" s="65">
        <f>$M75*(1+'FSS 805 Assumptions'!$D70)</f>
        <v>175.35</v>
      </c>
      <c r="U75" s="65">
        <f>$M75*(1+'FSS 805 Assumptions'!$D70)</f>
        <v>175.35</v>
      </c>
      <c r="V75" s="65">
        <f>$M75*(1+'FSS 805 Assumptions'!$D70)</f>
        <v>175.35</v>
      </c>
      <c r="W75" s="65">
        <f>$M75*(1+'FSS 805 Assumptions'!$D70)</f>
        <v>175.35</v>
      </c>
      <c r="X75" s="65">
        <f>$M75*(1+'FSS 805 Assumptions'!$D70)</f>
        <v>175.35</v>
      </c>
      <c r="Y75" s="65">
        <f>$M75*(1+'FSS 805 Assumptions'!$D70)</f>
        <v>175.35</v>
      </c>
      <c r="Z75" s="65">
        <f>$M75*(1+'FSS 805 Assumptions'!$D70)</f>
        <v>175.35</v>
      </c>
      <c r="AA75" s="59">
        <f t="shared" si="37"/>
        <v>2104.1999999999994</v>
      </c>
      <c r="AB75" s="65">
        <f>$Z75*(1+'FSS 805 Assumptions'!$E70)</f>
        <v>184.11750000000001</v>
      </c>
      <c r="AC75" s="65">
        <f>$Z75*(1+'FSS 805 Assumptions'!$E70)</f>
        <v>184.11750000000001</v>
      </c>
      <c r="AD75" s="65">
        <f>$Z75*(1+'FSS 805 Assumptions'!$E70)</f>
        <v>184.11750000000001</v>
      </c>
      <c r="AE75" s="65">
        <f>$Z75*(1+'FSS 805 Assumptions'!$E70)</f>
        <v>184.11750000000001</v>
      </c>
      <c r="AF75" s="65">
        <f>$Z75*(1+'FSS 805 Assumptions'!$E70)</f>
        <v>184.11750000000001</v>
      </c>
      <c r="AG75" s="65">
        <f>$Z75*(1+'FSS 805 Assumptions'!$E70)</f>
        <v>184.11750000000001</v>
      </c>
      <c r="AH75" s="65">
        <f>$Z75*(1+'FSS 805 Assumptions'!$E70)</f>
        <v>184.11750000000001</v>
      </c>
      <c r="AI75" s="65">
        <f>$Z75*(1+'FSS 805 Assumptions'!$E70)</f>
        <v>184.11750000000001</v>
      </c>
      <c r="AJ75" s="65">
        <f>$Z75*(1+'FSS 805 Assumptions'!$E70)</f>
        <v>184.11750000000001</v>
      </c>
      <c r="AK75" s="65">
        <f>$Z75*(1+'FSS 805 Assumptions'!$E70)</f>
        <v>184.11750000000001</v>
      </c>
      <c r="AL75" s="65">
        <f>$Z75*(1+'FSS 805 Assumptions'!$E70)</f>
        <v>184.11750000000001</v>
      </c>
      <c r="AM75" s="65">
        <f>$Z75*(1+'FSS 805 Assumptions'!$E70)</f>
        <v>184.11750000000001</v>
      </c>
      <c r="AN75" s="172">
        <f>AA75*(1+'FSS 805 Assumptions'!E70)</f>
        <v>2209.4099999999994</v>
      </c>
      <c r="AO75" s="65">
        <f>$AM75*(1+'FSS 805 Assumptions'!$F70)</f>
        <v>193.32337500000003</v>
      </c>
      <c r="AP75" s="65">
        <f>$AM75*(1+'FSS 805 Assumptions'!$F70)</f>
        <v>193.32337500000003</v>
      </c>
      <c r="AQ75" s="65">
        <f>$AM75*(1+'FSS 805 Assumptions'!$F70)</f>
        <v>193.32337500000003</v>
      </c>
      <c r="AR75" s="65">
        <f>$AM75*(1+'FSS 805 Assumptions'!$F70)</f>
        <v>193.32337500000003</v>
      </c>
      <c r="AS75" s="65">
        <f>$AM75*(1+'FSS 805 Assumptions'!$F70)</f>
        <v>193.32337500000003</v>
      </c>
      <c r="AT75" s="65">
        <f>$AM75*(1+'FSS 805 Assumptions'!$F70)</f>
        <v>193.32337500000003</v>
      </c>
      <c r="AU75" s="65">
        <f>$AM75*(1+'FSS 805 Assumptions'!$F70)</f>
        <v>193.32337500000003</v>
      </c>
      <c r="AV75" s="65">
        <f>$AM75*(1+'FSS 805 Assumptions'!$F70)</f>
        <v>193.32337500000003</v>
      </c>
      <c r="AW75" s="65">
        <f>$AM75*(1+'FSS 805 Assumptions'!$F70)</f>
        <v>193.32337500000003</v>
      </c>
      <c r="AX75" s="65">
        <f>$AM75*(1+'FSS 805 Assumptions'!$F70)</f>
        <v>193.32337500000003</v>
      </c>
      <c r="AY75" s="65">
        <f>$AM75*(1+'FSS 805 Assumptions'!$F70)</f>
        <v>193.32337500000003</v>
      </c>
      <c r="AZ75" s="65">
        <f>$AM75*(1+'FSS 805 Assumptions'!$F70)</f>
        <v>193.32337500000003</v>
      </c>
      <c r="BA75" s="59">
        <f t="shared" si="36"/>
        <v>2319.8804999999998</v>
      </c>
      <c r="BB75" s="172">
        <f>BA75*(1+'FSS 805 Assumptions'!G70)</f>
        <v>2435.8745249999997</v>
      </c>
    </row>
    <row r="76" spans="1:54" x14ac:dyDescent="0.2">
      <c r="A76" s="76" t="s">
        <v>536</v>
      </c>
      <c r="B76" s="65">
        <f>'FSS 805 Assumptions'!$B71</f>
        <v>351</v>
      </c>
      <c r="C76" s="65">
        <f>'FSS 805 Assumptions'!$B71</f>
        <v>351</v>
      </c>
      <c r="D76" s="65">
        <f>'FSS 805 Assumptions'!$B71</f>
        <v>351</v>
      </c>
      <c r="E76" s="65">
        <f>'FSS 805 Assumptions'!$B71</f>
        <v>351</v>
      </c>
      <c r="F76" s="65">
        <f>'FSS 805 Assumptions'!$B71</f>
        <v>351</v>
      </c>
      <c r="G76" s="65">
        <f>'FSS 805 Assumptions'!$B71</f>
        <v>351</v>
      </c>
      <c r="H76" s="65">
        <f>'FSS 805 Assumptions'!$B71</f>
        <v>351</v>
      </c>
      <c r="I76" s="65">
        <f>'FSS 805 Assumptions'!$B71</f>
        <v>351</v>
      </c>
      <c r="J76" s="65">
        <f>'FSS 805 Assumptions'!$B71</f>
        <v>351</v>
      </c>
      <c r="K76" s="65">
        <f>'FSS 805 Assumptions'!$B71</f>
        <v>351</v>
      </c>
      <c r="L76" s="65">
        <f>'FSS 805 Assumptions'!$B71</f>
        <v>351</v>
      </c>
      <c r="M76" s="65">
        <f>'FSS 805 Assumptions'!$B71</f>
        <v>351</v>
      </c>
      <c r="N76" s="156">
        <f t="shared" si="35"/>
        <v>4212</v>
      </c>
      <c r="O76" s="65">
        <f>$M76*(1+'FSS 805 Assumptions'!$D71)</f>
        <v>368.55</v>
      </c>
      <c r="P76" s="65">
        <f>$M76*(1+'FSS 805 Assumptions'!$D71)</f>
        <v>368.55</v>
      </c>
      <c r="Q76" s="65">
        <f>$M76*(1+'FSS 805 Assumptions'!$D71)</f>
        <v>368.55</v>
      </c>
      <c r="R76" s="65">
        <f>$M76*(1+'FSS 805 Assumptions'!$D71)</f>
        <v>368.55</v>
      </c>
      <c r="S76" s="65">
        <f>$M76*(1+'FSS 805 Assumptions'!$D71)</f>
        <v>368.55</v>
      </c>
      <c r="T76" s="65">
        <f>$M76*(1+'FSS 805 Assumptions'!$D71)</f>
        <v>368.55</v>
      </c>
      <c r="U76" s="65">
        <f>$M76*(1+'FSS 805 Assumptions'!$D71)</f>
        <v>368.55</v>
      </c>
      <c r="V76" s="65">
        <f>$M76*(1+'FSS 805 Assumptions'!$D71)</f>
        <v>368.55</v>
      </c>
      <c r="W76" s="65">
        <f>$M76*(1+'FSS 805 Assumptions'!$D71)</f>
        <v>368.55</v>
      </c>
      <c r="X76" s="65">
        <f>$M76*(1+'FSS 805 Assumptions'!$D71)</f>
        <v>368.55</v>
      </c>
      <c r="Y76" s="65">
        <f>$M76*(1+'FSS 805 Assumptions'!$D71)</f>
        <v>368.55</v>
      </c>
      <c r="Z76" s="65">
        <f>$M76*(1+'FSS 805 Assumptions'!$D71)</f>
        <v>368.55</v>
      </c>
      <c r="AA76" s="59">
        <f t="shared" si="37"/>
        <v>4422.6000000000013</v>
      </c>
      <c r="AB76" s="65">
        <f>$Z76*(1+'FSS 805 Assumptions'!$E71)</f>
        <v>386.97750000000002</v>
      </c>
      <c r="AC76" s="65">
        <f>$Z76*(1+'FSS 805 Assumptions'!$E71)</f>
        <v>386.97750000000002</v>
      </c>
      <c r="AD76" s="65">
        <f>$Z76*(1+'FSS 805 Assumptions'!$E71)</f>
        <v>386.97750000000002</v>
      </c>
      <c r="AE76" s="65">
        <f>$Z76*(1+'FSS 805 Assumptions'!$E71)</f>
        <v>386.97750000000002</v>
      </c>
      <c r="AF76" s="65">
        <f>$Z76*(1+'FSS 805 Assumptions'!$E71)</f>
        <v>386.97750000000002</v>
      </c>
      <c r="AG76" s="65">
        <f>$Z76*(1+'FSS 805 Assumptions'!$E71)</f>
        <v>386.97750000000002</v>
      </c>
      <c r="AH76" s="65">
        <f>$Z76*(1+'FSS 805 Assumptions'!$E71)</f>
        <v>386.97750000000002</v>
      </c>
      <c r="AI76" s="65">
        <f>$Z76*(1+'FSS 805 Assumptions'!$E71)</f>
        <v>386.97750000000002</v>
      </c>
      <c r="AJ76" s="65">
        <f>$Z76*(1+'FSS 805 Assumptions'!$E71)</f>
        <v>386.97750000000002</v>
      </c>
      <c r="AK76" s="65">
        <f>$Z76*(1+'FSS 805 Assumptions'!$E71)</f>
        <v>386.97750000000002</v>
      </c>
      <c r="AL76" s="65">
        <f>$Z76*(1+'FSS 805 Assumptions'!$E71)</f>
        <v>386.97750000000002</v>
      </c>
      <c r="AM76" s="65">
        <f>$Z76*(1+'FSS 805 Assumptions'!$E71)</f>
        <v>386.97750000000002</v>
      </c>
      <c r="AN76" s="172">
        <f>AA76*(1+'FSS 805 Assumptions'!E71)</f>
        <v>4643.7300000000014</v>
      </c>
      <c r="AO76" s="65">
        <f>$AM76*(1+'FSS 805 Assumptions'!$F71)</f>
        <v>406.32637500000004</v>
      </c>
      <c r="AP76" s="65">
        <f>$AM76*(1+'FSS 805 Assumptions'!$F71)</f>
        <v>406.32637500000004</v>
      </c>
      <c r="AQ76" s="65">
        <f>$AM76*(1+'FSS 805 Assumptions'!$F71)</f>
        <v>406.32637500000004</v>
      </c>
      <c r="AR76" s="65">
        <f>$AM76*(1+'FSS 805 Assumptions'!$F71)</f>
        <v>406.32637500000004</v>
      </c>
      <c r="AS76" s="65">
        <f>$AM76*(1+'FSS 805 Assumptions'!$F71)</f>
        <v>406.32637500000004</v>
      </c>
      <c r="AT76" s="65">
        <f>$AM76*(1+'FSS 805 Assumptions'!$F71)</f>
        <v>406.32637500000004</v>
      </c>
      <c r="AU76" s="65">
        <f>$AM76*(1+'FSS 805 Assumptions'!$F71)</f>
        <v>406.32637500000004</v>
      </c>
      <c r="AV76" s="65">
        <f>$AM76*(1+'FSS 805 Assumptions'!$F71)</f>
        <v>406.32637500000004</v>
      </c>
      <c r="AW76" s="65">
        <f>$AM76*(1+'FSS 805 Assumptions'!$F71)</f>
        <v>406.32637500000004</v>
      </c>
      <c r="AX76" s="65">
        <f>$AM76*(1+'FSS 805 Assumptions'!$F71)</f>
        <v>406.32637500000004</v>
      </c>
      <c r="AY76" s="65">
        <f>$AM76*(1+'FSS 805 Assumptions'!$F71)</f>
        <v>406.32637500000004</v>
      </c>
      <c r="AZ76" s="65">
        <f>$AM76*(1+'FSS 805 Assumptions'!$F71)</f>
        <v>406.32637500000004</v>
      </c>
      <c r="BA76" s="59">
        <f t="shared" si="36"/>
        <v>4875.9165000000003</v>
      </c>
      <c r="BB76" s="172">
        <f>BA76*(1+'FSS 805 Assumptions'!G71)</f>
        <v>5119.7123250000004</v>
      </c>
    </row>
    <row r="77" spans="1:54" x14ac:dyDescent="0.2">
      <c r="A77" s="76" t="s">
        <v>535</v>
      </c>
      <c r="B77" s="65">
        <f>'FSS 805 Assumptions'!$B72</f>
        <v>7245</v>
      </c>
      <c r="C77" s="65">
        <f>'FSS 805 Assumptions'!$B72</f>
        <v>7245</v>
      </c>
      <c r="D77" s="65">
        <f>'FSS 805 Assumptions'!$B72</f>
        <v>7245</v>
      </c>
      <c r="E77" s="65">
        <f>'FSS 805 Assumptions'!$B72</f>
        <v>7245</v>
      </c>
      <c r="F77" s="65">
        <f>'FSS 805 Assumptions'!$B72</f>
        <v>7245</v>
      </c>
      <c r="G77" s="65">
        <f>'FSS 805 Assumptions'!$B72</f>
        <v>7245</v>
      </c>
      <c r="H77" s="65">
        <f>'FSS 805 Assumptions'!$B72</f>
        <v>7245</v>
      </c>
      <c r="I77" s="65">
        <f>'FSS 805 Assumptions'!$B72</f>
        <v>7245</v>
      </c>
      <c r="J77" s="65">
        <f>'FSS 805 Assumptions'!$B72</f>
        <v>7245</v>
      </c>
      <c r="K77" s="65">
        <f>'FSS 805 Assumptions'!$B72</f>
        <v>7245</v>
      </c>
      <c r="L77" s="65">
        <f>'FSS 805 Assumptions'!$B72</f>
        <v>7245</v>
      </c>
      <c r="M77" s="65">
        <f>'FSS 805 Assumptions'!$B72</f>
        <v>7245</v>
      </c>
      <c r="N77" s="156">
        <f t="shared" si="35"/>
        <v>86940</v>
      </c>
      <c r="O77" s="65">
        <f>$M77*(1+'FSS 805 Assumptions'!$D72)</f>
        <v>7607.25</v>
      </c>
      <c r="P77" s="65">
        <f>$M77*(1+'FSS 805 Assumptions'!$D72)</f>
        <v>7607.25</v>
      </c>
      <c r="Q77" s="65">
        <f>$M77*(1+'FSS 805 Assumptions'!$D72)</f>
        <v>7607.25</v>
      </c>
      <c r="R77" s="65">
        <f>$M77*(1+'FSS 805 Assumptions'!$D72)</f>
        <v>7607.25</v>
      </c>
      <c r="S77" s="65">
        <f>$M77*(1+'FSS 805 Assumptions'!$D72)</f>
        <v>7607.25</v>
      </c>
      <c r="T77" s="65">
        <f>$M77*(1+'FSS 805 Assumptions'!$D72)</f>
        <v>7607.25</v>
      </c>
      <c r="U77" s="65">
        <f>$M77*(1+'FSS 805 Assumptions'!$D72)</f>
        <v>7607.25</v>
      </c>
      <c r="V77" s="65">
        <f>$M77*(1+'FSS 805 Assumptions'!$D72)</f>
        <v>7607.25</v>
      </c>
      <c r="W77" s="65">
        <f>$M77*(1+'FSS 805 Assumptions'!$D72)</f>
        <v>7607.25</v>
      </c>
      <c r="X77" s="65">
        <f>$M77*(1+'FSS 805 Assumptions'!$D72)</f>
        <v>7607.25</v>
      </c>
      <c r="Y77" s="65">
        <f>$M77*(1+'FSS 805 Assumptions'!$D72)</f>
        <v>7607.25</v>
      </c>
      <c r="Z77" s="65">
        <f>$M77*(1+'FSS 805 Assumptions'!$D72)</f>
        <v>7607.25</v>
      </c>
      <c r="AA77" s="59">
        <f t="shared" si="37"/>
        <v>91287</v>
      </c>
      <c r="AB77" s="65">
        <f>$Z77*(1+'FSS 805 Assumptions'!$E72)</f>
        <v>7987.6125000000002</v>
      </c>
      <c r="AC77" s="65">
        <f>$Z77*(1+'FSS 805 Assumptions'!$E72)</f>
        <v>7987.6125000000002</v>
      </c>
      <c r="AD77" s="65">
        <f>$Z77*(1+'FSS 805 Assumptions'!$E72)</f>
        <v>7987.6125000000002</v>
      </c>
      <c r="AE77" s="65">
        <f>$Z77*(1+'FSS 805 Assumptions'!$E72)</f>
        <v>7987.6125000000002</v>
      </c>
      <c r="AF77" s="65">
        <f>$Z77*(1+'FSS 805 Assumptions'!$E72)</f>
        <v>7987.6125000000002</v>
      </c>
      <c r="AG77" s="65">
        <f>$Z77*(1+'FSS 805 Assumptions'!$E72)</f>
        <v>7987.6125000000002</v>
      </c>
      <c r="AH77" s="65">
        <f>$Z77*(1+'FSS 805 Assumptions'!$E72)</f>
        <v>7987.6125000000002</v>
      </c>
      <c r="AI77" s="65">
        <f>$Z77*(1+'FSS 805 Assumptions'!$E72)</f>
        <v>7987.6125000000002</v>
      </c>
      <c r="AJ77" s="65">
        <f>$Z77*(1+'FSS 805 Assumptions'!$E72)</f>
        <v>7987.6125000000002</v>
      </c>
      <c r="AK77" s="65">
        <f>$Z77*(1+'FSS 805 Assumptions'!$E72)</f>
        <v>7987.6125000000002</v>
      </c>
      <c r="AL77" s="65">
        <f>$Z77*(1+'FSS 805 Assumptions'!$E72)</f>
        <v>7987.6125000000002</v>
      </c>
      <c r="AM77" s="65">
        <f>$Z77*(1+'FSS 805 Assumptions'!$E72)</f>
        <v>7987.6125000000002</v>
      </c>
      <c r="AN77" s="172">
        <f>AA77*(1+'FSS 805 Assumptions'!E72)</f>
        <v>95851.35</v>
      </c>
      <c r="AO77" s="65">
        <f>$AM77*(1+'FSS 805 Assumptions'!$F72)</f>
        <v>8386.9931250000009</v>
      </c>
      <c r="AP77" s="65">
        <f>$AM77*(1+'FSS 805 Assumptions'!$F72)</f>
        <v>8386.9931250000009</v>
      </c>
      <c r="AQ77" s="65">
        <f>$AM77*(1+'FSS 805 Assumptions'!$F72)</f>
        <v>8386.9931250000009</v>
      </c>
      <c r="AR77" s="65">
        <f>$AM77*(1+'FSS 805 Assumptions'!$F72)</f>
        <v>8386.9931250000009</v>
      </c>
      <c r="AS77" s="65">
        <f>$AM77*(1+'FSS 805 Assumptions'!$F72)</f>
        <v>8386.9931250000009</v>
      </c>
      <c r="AT77" s="65">
        <f>$AM77*(1+'FSS 805 Assumptions'!$F72)</f>
        <v>8386.9931250000009</v>
      </c>
      <c r="AU77" s="65">
        <f>$AM77*(1+'FSS 805 Assumptions'!$F72)</f>
        <v>8386.9931250000009</v>
      </c>
      <c r="AV77" s="65">
        <f>$AM77*(1+'FSS 805 Assumptions'!$F72)</f>
        <v>8386.9931250000009</v>
      </c>
      <c r="AW77" s="65">
        <f>$AM77*(1+'FSS 805 Assumptions'!$F72)</f>
        <v>8386.9931250000009</v>
      </c>
      <c r="AX77" s="65">
        <f>$AM77*(1+'FSS 805 Assumptions'!$F72)</f>
        <v>8386.9931250000009</v>
      </c>
      <c r="AY77" s="65">
        <f>$AM77*(1+'FSS 805 Assumptions'!$F72)</f>
        <v>8386.9931250000009</v>
      </c>
      <c r="AZ77" s="65">
        <f>$AM77*(1+'FSS 805 Assumptions'!$F72)</f>
        <v>8386.9931250000009</v>
      </c>
      <c r="BA77" s="59">
        <f t="shared" si="36"/>
        <v>100643.91750000004</v>
      </c>
      <c r="BB77" s="172">
        <f>BA77*(1+'FSS 805 Assumptions'!G72)</f>
        <v>105676.11337500004</v>
      </c>
    </row>
    <row r="78" spans="1:54" x14ac:dyDescent="0.2">
      <c r="A78" s="76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160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132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174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174"/>
      <c r="BB78" s="174"/>
    </row>
    <row r="79" spans="1:54" s="80" customFormat="1" collapsed="1" x14ac:dyDescent="0.2">
      <c r="A79" s="90" t="s">
        <v>98</v>
      </c>
      <c r="B79" s="81">
        <f t="shared" ref="B79:AG79" si="38">SUM(B72:B78)</f>
        <v>33791</v>
      </c>
      <c r="C79" s="81">
        <f t="shared" si="38"/>
        <v>33791</v>
      </c>
      <c r="D79" s="81">
        <f t="shared" si="38"/>
        <v>33791</v>
      </c>
      <c r="E79" s="81">
        <f t="shared" si="38"/>
        <v>33791</v>
      </c>
      <c r="F79" s="81">
        <f t="shared" si="38"/>
        <v>33791</v>
      </c>
      <c r="G79" s="81">
        <f t="shared" si="38"/>
        <v>33791</v>
      </c>
      <c r="H79" s="81">
        <f t="shared" si="38"/>
        <v>33791</v>
      </c>
      <c r="I79" s="81">
        <f t="shared" si="38"/>
        <v>33791</v>
      </c>
      <c r="J79" s="81">
        <f t="shared" si="38"/>
        <v>33791</v>
      </c>
      <c r="K79" s="81">
        <f t="shared" si="38"/>
        <v>33791</v>
      </c>
      <c r="L79" s="81">
        <f t="shared" si="38"/>
        <v>33791</v>
      </c>
      <c r="M79" s="81">
        <f t="shared" si="38"/>
        <v>33791</v>
      </c>
      <c r="N79" s="81">
        <f t="shared" si="38"/>
        <v>405492</v>
      </c>
      <c r="O79" s="81">
        <f t="shared" si="38"/>
        <v>35480.550000000003</v>
      </c>
      <c r="P79" s="81">
        <f t="shared" si="38"/>
        <v>35480.550000000003</v>
      </c>
      <c r="Q79" s="81">
        <f t="shared" si="38"/>
        <v>35480.550000000003</v>
      </c>
      <c r="R79" s="81">
        <f t="shared" si="38"/>
        <v>35480.550000000003</v>
      </c>
      <c r="S79" s="81">
        <f t="shared" si="38"/>
        <v>35480.550000000003</v>
      </c>
      <c r="T79" s="81">
        <f t="shared" si="38"/>
        <v>35480.550000000003</v>
      </c>
      <c r="U79" s="81">
        <f t="shared" si="38"/>
        <v>35480.550000000003</v>
      </c>
      <c r="V79" s="81">
        <f t="shared" si="38"/>
        <v>35480.550000000003</v>
      </c>
      <c r="W79" s="81">
        <f t="shared" si="38"/>
        <v>35480.550000000003</v>
      </c>
      <c r="X79" s="81">
        <f t="shared" si="38"/>
        <v>35480.550000000003</v>
      </c>
      <c r="Y79" s="81">
        <f t="shared" si="38"/>
        <v>35480.550000000003</v>
      </c>
      <c r="Z79" s="81">
        <f t="shared" si="38"/>
        <v>35480.550000000003</v>
      </c>
      <c r="AA79" s="81">
        <f t="shared" si="38"/>
        <v>425766.59999999992</v>
      </c>
      <c r="AB79" s="81">
        <f t="shared" si="38"/>
        <v>37254.577500000007</v>
      </c>
      <c r="AC79" s="81">
        <f t="shared" si="38"/>
        <v>37254.577500000007</v>
      </c>
      <c r="AD79" s="81">
        <f t="shared" si="38"/>
        <v>37254.577500000007</v>
      </c>
      <c r="AE79" s="81">
        <f t="shared" si="38"/>
        <v>37254.577500000007</v>
      </c>
      <c r="AF79" s="81">
        <f t="shared" si="38"/>
        <v>37254.577500000007</v>
      </c>
      <c r="AG79" s="81">
        <f t="shared" si="38"/>
        <v>37254.577500000007</v>
      </c>
      <c r="AH79" s="81">
        <f t="shared" ref="AH79:BM79" si="39">SUM(AH72:AH78)</f>
        <v>37254.577500000007</v>
      </c>
      <c r="AI79" s="81">
        <f t="shared" si="39"/>
        <v>37254.577500000007</v>
      </c>
      <c r="AJ79" s="81">
        <f t="shared" si="39"/>
        <v>37254.577500000007</v>
      </c>
      <c r="AK79" s="81">
        <f t="shared" si="39"/>
        <v>37254.577500000007</v>
      </c>
      <c r="AL79" s="81">
        <f t="shared" si="39"/>
        <v>37254.577500000007</v>
      </c>
      <c r="AM79" s="81">
        <f t="shared" si="39"/>
        <v>37254.577500000007</v>
      </c>
      <c r="AN79" s="81">
        <f t="shared" si="39"/>
        <v>447054.92999999993</v>
      </c>
      <c r="AO79" s="81">
        <f t="shared" si="39"/>
        <v>39117.306375</v>
      </c>
      <c r="AP79" s="81">
        <f t="shared" si="39"/>
        <v>39117.306375</v>
      </c>
      <c r="AQ79" s="81">
        <f t="shared" si="39"/>
        <v>39117.306375</v>
      </c>
      <c r="AR79" s="81">
        <f t="shared" si="39"/>
        <v>39117.306375</v>
      </c>
      <c r="AS79" s="81">
        <f t="shared" si="39"/>
        <v>39117.306375</v>
      </c>
      <c r="AT79" s="81">
        <f t="shared" si="39"/>
        <v>39117.306375</v>
      </c>
      <c r="AU79" s="81">
        <f t="shared" si="39"/>
        <v>39117.306375</v>
      </c>
      <c r="AV79" s="81">
        <f t="shared" si="39"/>
        <v>39117.306375</v>
      </c>
      <c r="AW79" s="81">
        <f t="shared" si="39"/>
        <v>39117.306375</v>
      </c>
      <c r="AX79" s="81">
        <f t="shared" si="39"/>
        <v>39117.306375</v>
      </c>
      <c r="AY79" s="81">
        <f t="shared" si="39"/>
        <v>39117.306375</v>
      </c>
      <c r="AZ79" s="81">
        <f t="shared" si="39"/>
        <v>39117.306375</v>
      </c>
      <c r="BA79" s="81">
        <f t="shared" si="39"/>
        <v>469407.67650000006</v>
      </c>
      <c r="BB79" s="81">
        <f t="shared" si="39"/>
        <v>492878.06032500009</v>
      </c>
    </row>
    <row r="80" spans="1:54" x14ac:dyDescent="0.2">
      <c r="A80" s="76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159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168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168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168"/>
      <c r="BB80" s="168"/>
    </row>
    <row r="81" spans="1:55" x14ac:dyDescent="0.2">
      <c r="A81" s="74" t="s">
        <v>99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159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168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168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168"/>
      <c r="BB81" s="168"/>
    </row>
    <row r="82" spans="1:55" x14ac:dyDescent="0.2">
      <c r="A82" s="76" t="s">
        <v>105</v>
      </c>
      <c r="B82" s="65">
        <f>'FSS 805 Assumptions'!$B$76</f>
        <v>4700</v>
      </c>
      <c r="C82" s="65">
        <f>'FSS 805 Assumptions'!$B$76</f>
        <v>4700</v>
      </c>
      <c r="D82" s="65">
        <f>'FSS 805 Assumptions'!$B$76</f>
        <v>4700</v>
      </c>
      <c r="E82" s="65">
        <f>'FSS 805 Assumptions'!$B$76</f>
        <v>4700</v>
      </c>
      <c r="F82" s="65">
        <f>'FSS 805 Assumptions'!$B$76</f>
        <v>4700</v>
      </c>
      <c r="G82" s="65">
        <f>'FSS 805 Assumptions'!$B$76</f>
        <v>4700</v>
      </c>
      <c r="H82" s="65">
        <f>'FSS 805 Assumptions'!$B$76</f>
        <v>4700</v>
      </c>
      <c r="I82" s="65">
        <f>'FSS 805 Assumptions'!$B$76</f>
        <v>4700</v>
      </c>
      <c r="J82" s="65">
        <f>'FSS 805 Assumptions'!$B$76</f>
        <v>4700</v>
      </c>
      <c r="K82" s="65">
        <f>'FSS 805 Assumptions'!$B$76</f>
        <v>4700</v>
      </c>
      <c r="L82" s="65">
        <f>'FSS 805 Assumptions'!$B$76</f>
        <v>4700</v>
      </c>
      <c r="M82" s="65">
        <f>'FSS 805 Assumptions'!$B$76</f>
        <v>4700</v>
      </c>
      <c r="N82" s="156">
        <f>SUM(B82:M82)</f>
        <v>56400</v>
      </c>
      <c r="O82" s="65">
        <f>$M82*(1+'FSS 805 Assumptions'!$D76)</f>
        <v>4841</v>
      </c>
      <c r="P82" s="65">
        <f>$M82*(1+'FSS 805 Assumptions'!$D76)</f>
        <v>4841</v>
      </c>
      <c r="Q82" s="65">
        <f>$M82*(1+'FSS 805 Assumptions'!$D76)</f>
        <v>4841</v>
      </c>
      <c r="R82" s="65">
        <f>$M82*(1+'FSS 805 Assumptions'!$D76)</f>
        <v>4841</v>
      </c>
      <c r="S82" s="65">
        <f>$M82*(1+'FSS 805 Assumptions'!$D76)</f>
        <v>4841</v>
      </c>
      <c r="T82" s="65">
        <f>$M82*(1+'FSS 805 Assumptions'!$D76)</f>
        <v>4841</v>
      </c>
      <c r="U82" s="65">
        <f>$M82*(1+'FSS 805 Assumptions'!$D76)</f>
        <v>4841</v>
      </c>
      <c r="V82" s="65">
        <f>$M82*(1+'FSS 805 Assumptions'!$D76)</f>
        <v>4841</v>
      </c>
      <c r="W82" s="65">
        <f>$M82*(1+'FSS 805 Assumptions'!$D76)</f>
        <v>4841</v>
      </c>
      <c r="X82" s="65">
        <f>$M82*(1+'FSS 805 Assumptions'!$D76)</f>
        <v>4841</v>
      </c>
      <c r="Y82" s="65">
        <f>$M82*(1+'FSS 805 Assumptions'!$D76)</f>
        <v>4841</v>
      </c>
      <c r="Z82" s="65">
        <f>$M82*(1+'FSS 805 Assumptions'!$D76)</f>
        <v>4841</v>
      </c>
      <c r="AA82" s="59">
        <f>SUM(O82:Z82)</f>
        <v>58092</v>
      </c>
      <c r="AB82" s="65">
        <f>$Z82*(1+'FSS 805 Assumptions'!$E76)</f>
        <v>4986.2300000000005</v>
      </c>
      <c r="AC82" s="65">
        <f>$Z82*(1+'FSS 805 Assumptions'!$E76)</f>
        <v>4986.2300000000005</v>
      </c>
      <c r="AD82" s="65">
        <f>$Z82*(1+'FSS 805 Assumptions'!$E76)</f>
        <v>4986.2300000000005</v>
      </c>
      <c r="AE82" s="65">
        <f>$Z82*(1+'FSS 805 Assumptions'!$E76)</f>
        <v>4986.2300000000005</v>
      </c>
      <c r="AF82" s="65">
        <f>$Z82*(1+'FSS 805 Assumptions'!$E76)</f>
        <v>4986.2300000000005</v>
      </c>
      <c r="AG82" s="65">
        <f>$Z82*(1+'FSS 805 Assumptions'!$E76)</f>
        <v>4986.2300000000005</v>
      </c>
      <c r="AH82" s="65">
        <f>$Z82*(1+'FSS 805 Assumptions'!$E76)</f>
        <v>4986.2300000000005</v>
      </c>
      <c r="AI82" s="65">
        <f>$Z82*(1+'FSS 805 Assumptions'!$E76)</f>
        <v>4986.2300000000005</v>
      </c>
      <c r="AJ82" s="65">
        <f>$Z82*(1+'FSS 805 Assumptions'!$E76)</f>
        <v>4986.2300000000005</v>
      </c>
      <c r="AK82" s="65">
        <f>$Z82*(1+'FSS 805 Assumptions'!$E76)</f>
        <v>4986.2300000000005</v>
      </c>
      <c r="AL82" s="65">
        <f>$Z82*(1+'FSS 805 Assumptions'!$E76)</f>
        <v>4986.2300000000005</v>
      </c>
      <c r="AM82" s="65">
        <f>$Z82*(1+'FSS 805 Assumptions'!$E76)</f>
        <v>4986.2300000000005</v>
      </c>
      <c r="AN82" s="172">
        <f>AA82*(1+'FSS 805 Assumptions'!E76)</f>
        <v>59834.76</v>
      </c>
      <c r="AO82" s="65">
        <f>$AM82*(1+'FSS 805 Assumptions'!$F76)</f>
        <v>5135.8169000000007</v>
      </c>
      <c r="AP82" s="65">
        <f>$AM82*(1+'FSS 805 Assumptions'!$F76)</f>
        <v>5135.8169000000007</v>
      </c>
      <c r="AQ82" s="65">
        <f>$AM82*(1+'FSS 805 Assumptions'!$F76)</f>
        <v>5135.8169000000007</v>
      </c>
      <c r="AR82" s="65">
        <f>$AM82*(1+'FSS 805 Assumptions'!$F76)</f>
        <v>5135.8169000000007</v>
      </c>
      <c r="AS82" s="65">
        <f>$AM82*(1+'FSS 805 Assumptions'!$F76)</f>
        <v>5135.8169000000007</v>
      </c>
      <c r="AT82" s="65">
        <f>$AM82*(1+'FSS 805 Assumptions'!$F76)</f>
        <v>5135.8169000000007</v>
      </c>
      <c r="AU82" s="65">
        <f>$AM82*(1+'FSS 805 Assumptions'!$F76)</f>
        <v>5135.8169000000007</v>
      </c>
      <c r="AV82" s="65">
        <f>$AM82*(1+'FSS 805 Assumptions'!$F76)</f>
        <v>5135.8169000000007</v>
      </c>
      <c r="AW82" s="65">
        <f>$AM82*(1+'FSS 805 Assumptions'!$F76)</f>
        <v>5135.8169000000007</v>
      </c>
      <c r="AX82" s="65">
        <f>$AM82*(1+'FSS 805 Assumptions'!$F76)</f>
        <v>5135.8169000000007</v>
      </c>
      <c r="AY82" s="65">
        <f>$AM82*(1+'FSS 805 Assumptions'!$F76)</f>
        <v>5135.8169000000007</v>
      </c>
      <c r="AZ82" s="65">
        <f>$AM82*(1+'FSS 805 Assumptions'!$F76)</f>
        <v>5135.8169000000007</v>
      </c>
      <c r="BA82" s="59">
        <f t="shared" ref="BA82" si="40">SUM(AO82:AZ82)</f>
        <v>61629.802799999998</v>
      </c>
      <c r="BB82" s="172">
        <f>BA82*(1+'FSS 805 Assumptions'!G76)</f>
        <v>63478.696883999997</v>
      </c>
      <c r="BC82" s="64"/>
    </row>
    <row r="83" spans="1:55" x14ac:dyDescent="0.2">
      <c r="A83" s="7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160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132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174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174"/>
      <c r="BB83" s="174"/>
      <c r="BC83" s="64"/>
    </row>
    <row r="84" spans="1:55" s="80" customFormat="1" collapsed="1" x14ac:dyDescent="0.2">
      <c r="A84" s="79" t="s">
        <v>100</v>
      </c>
      <c r="B84" s="81">
        <f t="shared" ref="B84:N84" si="41">SUM(B82:B83)</f>
        <v>4700</v>
      </c>
      <c r="C84" s="81">
        <f t="shared" si="41"/>
        <v>4700</v>
      </c>
      <c r="D84" s="81">
        <f t="shared" si="41"/>
        <v>4700</v>
      </c>
      <c r="E84" s="81">
        <f t="shared" si="41"/>
        <v>4700</v>
      </c>
      <c r="F84" s="81">
        <f t="shared" si="41"/>
        <v>4700</v>
      </c>
      <c r="G84" s="81">
        <f t="shared" si="41"/>
        <v>4700</v>
      </c>
      <c r="H84" s="81">
        <f t="shared" si="41"/>
        <v>4700</v>
      </c>
      <c r="I84" s="81">
        <f t="shared" si="41"/>
        <v>4700</v>
      </c>
      <c r="J84" s="81">
        <f t="shared" si="41"/>
        <v>4700</v>
      </c>
      <c r="K84" s="81">
        <f t="shared" si="41"/>
        <v>4700</v>
      </c>
      <c r="L84" s="81">
        <f t="shared" si="41"/>
        <v>4700</v>
      </c>
      <c r="M84" s="81">
        <f t="shared" si="41"/>
        <v>4700</v>
      </c>
      <c r="N84" s="81">
        <f t="shared" si="41"/>
        <v>56400</v>
      </c>
      <c r="O84" s="81">
        <f t="shared" ref="O84:BB84" si="42">SUM(O82:O83)</f>
        <v>4841</v>
      </c>
      <c r="P84" s="81">
        <f t="shared" si="42"/>
        <v>4841</v>
      </c>
      <c r="Q84" s="81">
        <f t="shared" si="42"/>
        <v>4841</v>
      </c>
      <c r="R84" s="81">
        <f t="shared" si="42"/>
        <v>4841</v>
      </c>
      <c r="S84" s="81">
        <f t="shared" si="42"/>
        <v>4841</v>
      </c>
      <c r="T84" s="81">
        <f t="shared" si="42"/>
        <v>4841</v>
      </c>
      <c r="U84" s="81">
        <f t="shared" si="42"/>
        <v>4841</v>
      </c>
      <c r="V84" s="81">
        <f t="shared" si="42"/>
        <v>4841</v>
      </c>
      <c r="W84" s="81">
        <f t="shared" si="42"/>
        <v>4841</v>
      </c>
      <c r="X84" s="81">
        <f t="shared" si="42"/>
        <v>4841</v>
      </c>
      <c r="Y84" s="81">
        <f t="shared" si="42"/>
        <v>4841</v>
      </c>
      <c r="Z84" s="81">
        <f t="shared" si="42"/>
        <v>4841</v>
      </c>
      <c r="AA84" s="81">
        <f t="shared" si="42"/>
        <v>58092</v>
      </c>
      <c r="AB84" s="81">
        <f t="shared" si="42"/>
        <v>4986.2300000000005</v>
      </c>
      <c r="AC84" s="81">
        <f t="shared" si="42"/>
        <v>4986.2300000000005</v>
      </c>
      <c r="AD84" s="81">
        <f t="shared" si="42"/>
        <v>4986.2300000000005</v>
      </c>
      <c r="AE84" s="81">
        <f t="shared" si="42"/>
        <v>4986.2300000000005</v>
      </c>
      <c r="AF84" s="81">
        <f t="shared" si="42"/>
        <v>4986.2300000000005</v>
      </c>
      <c r="AG84" s="81">
        <f t="shared" si="42"/>
        <v>4986.2300000000005</v>
      </c>
      <c r="AH84" s="81">
        <f t="shared" si="42"/>
        <v>4986.2300000000005</v>
      </c>
      <c r="AI84" s="81">
        <f t="shared" si="42"/>
        <v>4986.2300000000005</v>
      </c>
      <c r="AJ84" s="81">
        <f t="shared" si="42"/>
        <v>4986.2300000000005</v>
      </c>
      <c r="AK84" s="81">
        <f t="shared" si="42"/>
        <v>4986.2300000000005</v>
      </c>
      <c r="AL84" s="81">
        <f t="shared" si="42"/>
        <v>4986.2300000000005</v>
      </c>
      <c r="AM84" s="81">
        <f t="shared" si="42"/>
        <v>4986.2300000000005</v>
      </c>
      <c r="AN84" s="81">
        <f t="shared" si="42"/>
        <v>59834.76</v>
      </c>
      <c r="AO84" s="81">
        <f t="shared" si="42"/>
        <v>5135.8169000000007</v>
      </c>
      <c r="AP84" s="81">
        <f t="shared" si="42"/>
        <v>5135.8169000000007</v>
      </c>
      <c r="AQ84" s="81">
        <f t="shared" si="42"/>
        <v>5135.8169000000007</v>
      </c>
      <c r="AR84" s="81">
        <f t="shared" si="42"/>
        <v>5135.8169000000007</v>
      </c>
      <c r="AS84" s="81">
        <f t="shared" si="42"/>
        <v>5135.8169000000007</v>
      </c>
      <c r="AT84" s="81">
        <f t="shared" si="42"/>
        <v>5135.8169000000007</v>
      </c>
      <c r="AU84" s="81">
        <f t="shared" si="42"/>
        <v>5135.8169000000007</v>
      </c>
      <c r="AV84" s="81">
        <f t="shared" si="42"/>
        <v>5135.8169000000007</v>
      </c>
      <c r="AW84" s="81">
        <f t="shared" si="42"/>
        <v>5135.8169000000007</v>
      </c>
      <c r="AX84" s="81">
        <f t="shared" si="42"/>
        <v>5135.8169000000007</v>
      </c>
      <c r="AY84" s="81">
        <f t="shared" si="42"/>
        <v>5135.8169000000007</v>
      </c>
      <c r="AZ84" s="81">
        <f t="shared" si="42"/>
        <v>5135.8169000000007</v>
      </c>
      <c r="BA84" s="81">
        <f t="shared" si="42"/>
        <v>61629.802799999998</v>
      </c>
      <c r="BB84" s="81">
        <f t="shared" si="42"/>
        <v>63478.696883999997</v>
      </c>
    </row>
    <row r="85" spans="1:55" s="80" customFormat="1" x14ac:dyDescent="0.2">
      <c r="A85" s="79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</row>
    <row r="86" spans="1:55" x14ac:dyDescent="0.2">
      <c r="A86" s="74" t="s">
        <v>104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159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168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168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168"/>
      <c r="BB86" s="168"/>
    </row>
    <row r="87" spans="1:55" x14ac:dyDescent="0.2">
      <c r="A87" s="76" t="s">
        <v>207</v>
      </c>
      <c r="B87" s="65">
        <f>'FSS 805 Assumptions'!$B79</f>
        <v>9500</v>
      </c>
      <c r="C87" s="65">
        <f>'FSS 805 Assumptions'!$B79</f>
        <v>9500</v>
      </c>
      <c r="D87" s="65">
        <f>'FSS 805 Assumptions'!$B79</f>
        <v>9500</v>
      </c>
      <c r="E87" s="65">
        <f>'FSS 805 Assumptions'!$B79</f>
        <v>9500</v>
      </c>
      <c r="F87" s="65">
        <f>'FSS 805 Assumptions'!$B79</f>
        <v>9500</v>
      </c>
      <c r="G87" s="65">
        <f>'FSS 805 Assumptions'!$B79</f>
        <v>9500</v>
      </c>
      <c r="H87" s="65">
        <f>'FSS 805 Assumptions'!$B79</f>
        <v>9500</v>
      </c>
      <c r="I87" s="65">
        <f>'FSS 805 Assumptions'!$B79</f>
        <v>9500</v>
      </c>
      <c r="J87" s="65">
        <f>'FSS 805 Assumptions'!$B79</f>
        <v>9500</v>
      </c>
      <c r="K87" s="65">
        <f>'FSS 805 Assumptions'!$B79</f>
        <v>9500</v>
      </c>
      <c r="L87" s="65">
        <f>'FSS 805 Assumptions'!$B79</f>
        <v>9500</v>
      </c>
      <c r="M87" s="65">
        <f>'FSS 805 Assumptions'!$B79</f>
        <v>9500</v>
      </c>
      <c r="N87" s="156">
        <f t="shared" ref="N87:N91" si="43">SUM(B87:M87)</f>
        <v>114000</v>
      </c>
      <c r="O87" s="65">
        <f>$M87*(1+'FSS 805 Assumptions'!$D79)</f>
        <v>9785</v>
      </c>
      <c r="P87" s="65">
        <f>$M87*(1+'FSS 805 Assumptions'!$D79)</f>
        <v>9785</v>
      </c>
      <c r="Q87" s="65">
        <f>$M87*(1+'FSS 805 Assumptions'!$D79)</f>
        <v>9785</v>
      </c>
      <c r="R87" s="65">
        <f>$M87*(1+'FSS 805 Assumptions'!$D79)</f>
        <v>9785</v>
      </c>
      <c r="S87" s="65">
        <f>$M87*(1+'FSS 805 Assumptions'!$D79)</f>
        <v>9785</v>
      </c>
      <c r="T87" s="65">
        <f>$M87*(1+'FSS 805 Assumptions'!$D79)</f>
        <v>9785</v>
      </c>
      <c r="U87" s="65">
        <f>$M87*(1+'FSS 805 Assumptions'!$D79)</f>
        <v>9785</v>
      </c>
      <c r="V87" s="65">
        <f>$M87*(1+'FSS 805 Assumptions'!$D79)</f>
        <v>9785</v>
      </c>
      <c r="W87" s="65">
        <f>$M87*(1+'FSS 805 Assumptions'!$D79)</f>
        <v>9785</v>
      </c>
      <c r="X87" s="65">
        <f>$M87*(1+'FSS 805 Assumptions'!$D79)</f>
        <v>9785</v>
      </c>
      <c r="Y87" s="65">
        <f>$M87*(1+'FSS 805 Assumptions'!$D79)</f>
        <v>9785</v>
      </c>
      <c r="Z87" s="65">
        <f>$M87*(1+'FSS 805 Assumptions'!$D79)</f>
        <v>9785</v>
      </c>
      <c r="AA87" s="59">
        <f t="shared" ref="AA87:AA92" si="44">SUM(O87:Z87)</f>
        <v>117420</v>
      </c>
      <c r="AB87" s="65">
        <f>$Z87*(1+'FSS 805 Assumptions'!$E79)</f>
        <v>10763.5</v>
      </c>
      <c r="AC87" s="65">
        <f>$Z87*(1+'FSS 805 Assumptions'!$E79)</f>
        <v>10763.5</v>
      </c>
      <c r="AD87" s="65">
        <f>$Z87*(1+'FSS 805 Assumptions'!$E79)</f>
        <v>10763.5</v>
      </c>
      <c r="AE87" s="65">
        <f>$Z87*(1+'FSS 805 Assumptions'!$E79)</f>
        <v>10763.5</v>
      </c>
      <c r="AF87" s="65">
        <f>$Z87*(1+'FSS 805 Assumptions'!$E79)</f>
        <v>10763.5</v>
      </c>
      <c r="AG87" s="65">
        <f>$Z87*(1+'FSS 805 Assumptions'!$E79)</f>
        <v>10763.5</v>
      </c>
      <c r="AH87" s="65">
        <f>$Z87*(1+'FSS 805 Assumptions'!$E79)</f>
        <v>10763.5</v>
      </c>
      <c r="AI87" s="65">
        <f>$Z87*(1+'FSS 805 Assumptions'!$E79)</f>
        <v>10763.5</v>
      </c>
      <c r="AJ87" s="65">
        <f>$Z87*(1+'FSS 805 Assumptions'!$E79)</f>
        <v>10763.5</v>
      </c>
      <c r="AK87" s="65">
        <f>$Z87*(1+'FSS 805 Assumptions'!$E79)</f>
        <v>10763.5</v>
      </c>
      <c r="AL87" s="65">
        <f>$Z87*(1+'FSS 805 Assumptions'!$E79)</f>
        <v>10763.5</v>
      </c>
      <c r="AM87" s="65">
        <f>$Z87*(1+'FSS 805 Assumptions'!$E79)</f>
        <v>10763.5</v>
      </c>
      <c r="AN87" s="172">
        <f>AA87*(1+'FSS 805 Assumptions'!E79)</f>
        <v>129162.00000000001</v>
      </c>
      <c r="AO87" s="65">
        <f>$AM87*(1+'FSS 805 Assumptions'!$F79)</f>
        <v>11086.405000000001</v>
      </c>
      <c r="AP87" s="65">
        <f>$AM87*(1+'FSS 805 Assumptions'!$F79)</f>
        <v>11086.405000000001</v>
      </c>
      <c r="AQ87" s="65">
        <f>$AM87*(1+'FSS 805 Assumptions'!$F79)</f>
        <v>11086.405000000001</v>
      </c>
      <c r="AR87" s="65">
        <f>$AM87*(1+'FSS 805 Assumptions'!$F79)</f>
        <v>11086.405000000001</v>
      </c>
      <c r="AS87" s="65">
        <f>$AM87*(1+'FSS 805 Assumptions'!$F79)</f>
        <v>11086.405000000001</v>
      </c>
      <c r="AT87" s="65">
        <f>$AM87*(1+'FSS 805 Assumptions'!$F79)</f>
        <v>11086.405000000001</v>
      </c>
      <c r="AU87" s="65">
        <f>$AM87*(1+'FSS 805 Assumptions'!$F79)</f>
        <v>11086.405000000001</v>
      </c>
      <c r="AV87" s="65">
        <f>$AM87*(1+'FSS 805 Assumptions'!$F79)</f>
        <v>11086.405000000001</v>
      </c>
      <c r="AW87" s="65">
        <f>$AM87*(1+'FSS 805 Assumptions'!$F79)</f>
        <v>11086.405000000001</v>
      </c>
      <c r="AX87" s="65">
        <f>$AM87*(1+'FSS 805 Assumptions'!$F79)</f>
        <v>11086.405000000001</v>
      </c>
      <c r="AY87" s="65">
        <f>$AM87*(1+'FSS 805 Assumptions'!$F79)</f>
        <v>11086.405000000001</v>
      </c>
      <c r="AZ87" s="65">
        <f>$AM87*(1+'FSS 805 Assumptions'!$F79)</f>
        <v>11086.405000000001</v>
      </c>
      <c r="BA87" s="59">
        <f t="shared" ref="BA87:BA92" si="45">SUM(AO87:AZ87)</f>
        <v>133036.86000000002</v>
      </c>
      <c r="BB87" s="172">
        <f>BA87*(1+'FSS 805 Assumptions'!G79)</f>
        <v>137027.96580000001</v>
      </c>
    </row>
    <row r="88" spans="1:55" x14ac:dyDescent="0.2">
      <c r="A88" s="76" t="s">
        <v>217</v>
      </c>
      <c r="B88" s="65">
        <f>'FSS 805 Assumptions'!$B80</f>
        <v>450</v>
      </c>
      <c r="C88" s="65">
        <f>'FSS 805 Assumptions'!$B80</f>
        <v>450</v>
      </c>
      <c r="D88" s="65">
        <f>'FSS 805 Assumptions'!$B80</f>
        <v>450</v>
      </c>
      <c r="E88" s="65">
        <f>'FSS 805 Assumptions'!$B80</f>
        <v>450</v>
      </c>
      <c r="F88" s="65">
        <f>'FSS 805 Assumptions'!$B80</f>
        <v>450</v>
      </c>
      <c r="G88" s="65">
        <f>'FSS 805 Assumptions'!$B80</f>
        <v>450</v>
      </c>
      <c r="H88" s="65">
        <f>'FSS 805 Assumptions'!$B80</f>
        <v>450</v>
      </c>
      <c r="I88" s="65">
        <f>'FSS 805 Assumptions'!$B80</f>
        <v>450</v>
      </c>
      <c r="J88" s="65">
        <f>'FSS 805 Assumptions'!$B80</f>
        <v>450</v>
      </c>
      <c r="K88" s="65">
        <f>'FSS 805 Assumptions'!$B80</f>
        <v>450</v>
      </c>
      <c r="L88" s="65">
        <f>'FSS 805 Assumptions'!$B80</f>
        <v>450</v>
      </c>
      <c r="M88" s="65">
        <f>'FSS 805 Assumptions'!$B80</f>
        <v>450</v>
      </c>
      <c r="N88" s="156">
        <f t="shared" si="43"/>
        <v>5400</v>
      </c>
      <c r="O88" s="65">
        <f>$M88*(1+'FSS 805 Assumptions'!$D80)</f>
        <v>463.5</v>
      </c>
      <c r="P88" s="65">
        <f>$M88*(1+'FSS 805 Assumptions'!$D80)</f>
        <v>463.5</v>
      </c>
      <c r="Q88" s="65">
        <f>$M88*(1+'FSS 805 Assumptions'!$D80)</f>
        <v>463.5</v>
      </c>
      <c r="R88" s="65">
        <f>$M88*(1+'FSS 805 Assumptions'!$D80)</f>
        <v>463.5</v>
      </c>
      <c r="S88" s="65">
        <f>$M88*(1+'FSS 805 Assumptions'!$D80)</f>
        <v>463.5</v>
      </c>
      <c r="T88" s="65">
        <f>$M88*(1+'FSS 805 Assumptions'!$D80)</f>
        <v>463.5</v>
      </c>
      <c r="U88" s="65">
        <f>$M88*(1+'FSS 805 Assumptions'!$D80)</f>
        <v>463.5</v>
      </c>
      <c r="V88" s="65">
        <f>$M88*(1+'FSS 805 Assumptions'!$D80)</f>
        <v>463.5</v>
      </c>
      <c r="W88" s="65">
        <f>$M88*(1+'FSS 805 Assumptions'!$D80)</f>
        <v>463.5</v>
      </c>
      <c r="X88" s="65">
        <f>$M88*(1+'FSS 805 Assumptions'!$D80)</f>
        <v>463.5</v>
      </c>
      <c r="Y88" s="65">
        <f>$M88*(1+'FSS 805 Assumptions'!$D80)</f>
        <v>463.5</v>
      </c>
      <c r="Z88" s="65">
        <f>$M88*(1+'FSS 805 Assumptions'!$D80)</f>
        <v>463.5</v>
      </c>
      <c r="AA88" s="59">
        <f t="shared" si="44"/>
        <v>5562</v>
      </c>
      <c r="AB88" s="65">
        <f>$Z88*(1+'FSS 805 Assumptions'!$E80)</f>
        <v>477.40500000000003</v>
      </c>
      <c r="AC88" s="65">
        <f>$Z88*(1+'FSS 805 Assumptions'!$E80)</f>
        <v>477.40500000000003</v>
      </c>
      <c r="AD88" s="65">
        <f>$Z88*(1+'FSS 805 Assumptions'!$E80)</f>
        <v>477.40500000000003</v>
      </c>
      <c r="AE88" s="65">
        <f>$Z88*(1+'FSS 805 Assumptions'!$E80)</f>
        <v>477.40500000000003</v>
      </c>
      <c r="AF88" s="65">
        <f>$Z88*(1+'FSS 805 Assumptions'!$E80)</f>
        <v>477.40500000000003</v>
      </c>
      <c r="AG88" s="65">
        <f>$Z88*(1+'FSS 805 Assumptions'!$E80)</f>
        <v>477.40500000000003</v>
      </c>
      <c r="AH88" s="65">
        <f>$Z88*(1+'FSS 805 Assumptions'!$E80)</f>
        <v>477.40500000000003</v>
      </c>
      <c r="AI88" s="65">
        <f>$Z88*(1+'FSS 805 Assumptions'!$E80)</f>
        <v>477.40500000000003</v>
      </c>
      <c r="AJ88" s="65">
        <f>$Z88*(1+'FSS 805 Assumptions'!$E80)</f>
        <v>477.40500000000003</v>
      </c>
      <c r="AK88" s="65">
        <f>$Z88*(1+'FSS 805 Assumptions'!$E80)</f>
        <v>477.40500000000003</v>
      </c>
      <c r="AL88" s="65">
        <f>$Z88*(1+'FSS 805 Assumptions'!$E80)</f>
        <v>477.40500000000003</v>
      </c>
      <c r="AM88" s="65">
        <f>$Z88*(1+'FSS 805 Assumptions'!$E80)</f>
        <v>477.40500000000003</v>
      </c>
      <c r="AN88" s="172">
        <f>AA88*(1+'FSS 805 Assumptions'!E80)</f>
        <v>5728.8600000000006</v>
      </c>
      <c r="AO88" s="65">
        <f>$AM88*(1+'FSS 805 Assumptions'!$F80)</f>
        <v>491.72715000000005</v>
      </c>
      <c r="AP88" s="65">
        <f>$AM88*(1+'FSS 805 Assumptions'!$F80)</f>
        <v>491.72715000000005</v>
      </c>
      <c r="AQ88" s="65">
        <f>$AM88*(1+'FSS 805 Assumptions'!$F80)</f>
        <v>491.72715000000005</v>
      </c>
      <c r="AR88" s="65">
        <f>$AM88*(1+'FSS 805 Assumptions'!$F80)</f>
        <v>491.72715000000005</v>
      </c>
      <c r="AS88" s="65">
        <f>$AM88*(1+'FSS 805 Assumptions'!$F80)</f>
        <v>491.72715000000005</v>
      </c>
      <c r="AT88" s="65">
        <f>$AM88*(1+'FSS 805 Assumptions'!$F80)</f>
        <v>491.72715000000005</v>
      </c>
      <c r="AU88" s="65">
        <f>$AM88*(1+'FSS 805 Assumptions'!$F80)</f>
        <v>491.72715000000005</v>
      </c>
      <c r="AV88" s="65">
        <f>$AM88*(1+'FSS 805 Assumptions'!$F80)</f>
        <v>491.72715000000005</v>
      </c>
      <c r="AW88" s="65">
        <f>$AM88*(1+'FSS 805 Assumptions'!$F80)</f>
        <v>491.72715000000005</v>
      </c>
      <c r="AX88" s="65">
        <f>$AM88*(1+'FSS 805 Assumptions'!$F80)</f>
        <v>491.72715000000005</v>
      </c>
      <c r="AY88" s="65">
        <f>$AM88*(1+'FSS 805 Assumptions'!$F80)</f>
        <v>491.72715000000005</v>
      </c>
      <c r="AZ88" s="65">
        <f>$AM88*(1+'FSS 805 Assumptions'!$F80)</f>
        <v>491.72715000000005</v>
      </c>
      <c r="BA88" s="59">
        <f t="shared" si="45"/>
        <v>5900.7258000000002</v>
      </c>
      <c r="BB88" s="172">
        <f>BA88*(1+'FSS 805 Assumptions'!G80)</f>
        <v>6077.747574</v>
      </c>
    </row>
    <row r="89" spans="1:55" x14ac:dyDescent="0.2">
      <c r="A89" s="76" t="s">
        <v>401</v>
      </c>
      <c r="B89" s="65">
        <f>'FSS 805 Assumptions'!$B81</f>
        <v>900</v>
      </c>
      <c r="C89" s="65">
        <f>'FSS 805 Assumptions'!$B81</f>
        <v>900</v>
      </c>
      <c r="D89" s="65">
        <f>'FSS 805 Assumptions'!$B81</f>
        <v>900</v>
      </c>
      <c r="E89" s="65">
        <f>'FSS 805 Assumptions'!$B81</f>
        <v>900</v>
      </c>
      <c r="F89" s="65">
        <f>'FSS 805 Assumptions'!$B81</f>
        <v>900</v>
      </c>
      <c r="G89" s="65">
        <f>'FSS 805 Assumptions'!$B81</f>
        <v>900</v>
      </c>
      <c r="H89" s="65">
        <f>'FSS 805 Assumptions'!$B81</f>
        <v>900</v>
      </c>
      <c r="I89" s="65">
        <f>'FSS 805 Assumptions'!$B81</f>
        <v>900</v>
      </c>
      <c r="J89" s="65">
        <f>'FSS 805 Assumptions'!$B81</f>
        <v>900</v>
      </c>
      <c r="K89" s="65">
        <f>'FSS 805 Assumptions'!$B81</f>
        <v>900</v>
      </c>
      <c r="L89" s="65">
        <f>'FSS 805 Assumptions'!$B81</f>
        <v>900</v>
      </c>
      <c r="M89" s="65">
        <f>'FSS 805 Assumptions'!$B81</f>
        <v>900</v>
      </c>
      <c r="N89" s="156">
        <f t="shared" si="43"/>
        <v>10800</v>
      </c>
      <c r="O89" s="65">
        <f>$M89*(1+'FSS 805 Assumptions'!$D81)</f>
        <v>927</v>
      </c>
      <c r="P89" s="65">
        <f>$M89*(1+'FSS 805 Assumptions'!$D81)</f>
        <v>927</v>
      </c>
      <c r="Q89" s="65">
        <f>$M89*(1+'FSS 805 Assumptions'!$D81)</f>
        <v>927</v>
      </c>
      <c r="R89" s="65">
        <f>$M89*(1+'FSS 805 Assumptions'!$D81)</f>
        <v>927</v>
      </c>
      <c r="S89" s="65">
        <f>$M89*(1+'FSS 805 Assumptions'!$D81)</f>
        <v>927</v>
      </c>
      <c r="T89" s="65">
        <f>$M89*(1+'FSS 805 Assumptions'!$D81)</f>
        <v>927</v>
      </c>
      <c r="U89" s="65">
        <f>$M89*(1+'FSS 805 Assumptions'!$D81)</f>
        <v>927</v>
      </c>
      <c r="V89" s="65">
        <f>$M89*(1+'FSS 805 Assumptions'!$D81)</f>
        <v>927</v>
      </c>
      <c r="W89" s="65">
        <f>$M89*(1+'FSS 805 Assumptions'!$D81)</f>
        <v>927</v>
      </c>
      <c r="X89" s="65">
        <f>$M89*(1+'FSS 805 Assumptions'!$D81)</f>
        <v>927</v>
      </c>
      <c r="Y89" s="65">
        <f>$M89*(1+'FSS 805 Assumptions'!$D81)</f>
        <v>927</v>
      </c>
      <c r="Z89" s="65">
        <f>$M89*(1+'FSS 805 Assumptions'!$D81)</f>
        <v>927</v>
      </c>
      <c r="AA89" s="59">
        <f t="shared" si="44"/>
        <v>11124</v>
      </c>
      <c r="AB89" s="65">
        <f>$Z89*(1+'FSS 805 Assumptions'!$E81)</f>
        <v>954.81000000000006</v>
      </c>
      <c r="AC89" s="65">
        <f>$Z89*(1+'FSS 805 Assumptions'!$E81)</f>
        <v>954.81000000000006</v>
      </c>
      <c r="AD89" s="65">
        <f>$Z89*(1+'FSS 805 Assumptions'!$E81)</f>
        <v>954.81000000000006</v>
      </c>
      <c r="AE89" s="65">
        <f>$Z89*(1+'FSS 805 Assumptions'!$E81)</f>
        <v>954.81000000000006</v>
      </c>
      <c r="AF89" s="65">
        <f>$Z89*(1+'FSS 805 Assumptions'!$E81)</f>
        <v>954.81000000000006</v>
      </c>
      <c r="AG89" s="65">
        <f>$Z89*(1+'FSS 805 Assumptions'!$E81)</f>
        <v>954.81000000000006</v>
      </c>
      <c r="AH89" s="65">
        <f>$Z89*(1+'FSS 805 Assumptions'!$E81)</f>
        <v>954.81000000000006</v>
      </c>
      <c r="AI89" s="65">
        <f>$Z89*(1+'FSS 805 Assumptions'!$E81)</f>
        <v>954.81000000000006</v>
      </c>
      <c r="AJ89" s="65">
        <f>$Z89*(1+'FSS 805 Assumptions'!$E81)</f>
        <v>954.81000000000006</v>
      </c>
      <c r="AK89" s="65">
        <f>$Z89*(1+'FSS 805 Assumptions'!$E81)</f>
        <v>954.81000000000006</v>
      </c>
      <c r="AL89" s="65">
        <f>$Z89*(1+'FSS 805 Assumptions'!$E81)</f>
        <v>954.81000000000006</v>
      </c>
      <c r="AM89" s="65">
        <f>$Z89*(1+'FSS 805 Assumptions'!$E81)</f>
        <v>954.81000000000006</v>
      </c>
      <c r="AN89" s="172">
        <f>AA89*(1+'FSS 805 Assumptions'!E81)</f>
        <v>11457.720000000001</v>
      </c>
      <c r="AO89" s="65">
        <f>$AM89*(1+'FSS 805 Assumptions'!$F81)</f>
        <v>983.4543000000001</v>
      </c>
      <c r="AP89" s="65">
        <f>$AM89*(1+'FSS 805 Assumptions'!$F81)</f>
        <v>983.4543000000001</v>
      </c>
      <c r="AQ89" s="65">
        <f>$AM89*(1+'FSS 805 Assumptions'!$F81)</f>
        <v>983.4543000000001</v>
      </c>
      <c r="AR89" s="65">
        <f>$AM89*(1+'FSS 805 Assumptions'!$F81)</f>
        <v>983.4543000000001</v>
      </c>
      <c r="AS89" s="65">
        <f>$AM89*(1+'FSS 805 Assumptions'!$F81)</f>
        <v>983.4543000000001</v>
      </c>
      <c r="AT89" s="65">
        <f>$AM89*(1+'FSS 805 Assumptions'!$F81)</f>
        <v>983.4543000000001</v>
      </c>
      <c r="AU89" s="65">
        <f>$AM89*(1+'FSS 805 Assumptions'!$F81)</f>
        <v>983.4543000000001</v>
      </c>
      <c r="AV89" s="65">
        <f>$AM89*(1+'FSS 805 Assumptions'!$F81)</f>
        <v>983.4543000000001</v>
      </c>
      <c r="AW89" s="65">
        <f>$AM89*(1+'FSS 805 Assumptions'!$F81)</f>
        <v>983.4543000000001</v>
      </c>
      <c r="AX89" s="65">
        <f>$AM89*(1+'FSS 805 Assumptions'!$F81)</f>
        <v>983.4543000000001</v>
      </c>
      <c r="AY89" s="65">
        <f>$AM89*(1+'FSS 805 Assumptions'!$F81)</f>
        <v>983.4543000000001</v>
      </c>
      <c r="AZ89" s="65">
        <f>$AM89*(1+'FSS 805 Assumptions'!$F81)</f>
        <v>983.4543000000001</v>
      </c>
      <c r="BA89" s="59">
        <f t="shared" si="45"/>
        <v>11801.4516</v>
      </c>
      <c r="BB89" s="172">
        <f>BA89*(1+'FSS 805 Assumptions'!G81)</f>
        <v>12155.495148</v>
      </c>
    </row>
    <row r="90" spans="1:55" x14ac:dyDescent="0.2">
      <c r="A90" s="76" t="s">
        <v>233</v>
      </c>
      <c r="B90" s="65">
        <f>'FSS 805 Assumptions'!$B82</f>
        <v>0</v>
      </c>
      <c r="C90" s="65">
        <f>'FSS 805 Assumptions'!$B82</f>
        <v>0</v>
      </c>
      <c r="D90" s="65">
        <f>'FSS 805 Assumptions'!$B82</f>
        <v>0</v>
      </c>
      <c r="E90" s="65">
        <f>'FSS 805 Assumptions'!$B82</f>
        <v>0</v>
      </c>
      <c r="F90" s="65">
        <f>'FSS 805 Assumptions'!$B82</f>
        <v>0</v>
      </c>
      <c r="G90" s="65">
        <f>'FSS 805 Assumptions'!$B82</f>
        <v>0</v>
      </c>
      <c r="H90" s="65">
        <f>'FSS 805 Assumptions'!$B82</f>
        <v>0</v>
      </c>
      <c r="I90" s="65">
        <f>'FSS 805 Assumptions'!$B82</f>
        <v>0</v>
      </c>
      <c r="J90" s="65">
        <f>'FSS 805 Assumptions'!$B82</f>
        <v>0</v>
      </c>
      <c r="K90" s="65">
        <f>'FSS 805 Assumptions'!$B82</f>
        <v>0</v>
      </c>
      <c r="L90" s="65">
        <f>'FSS 805 Assumptions'!$B82</f>
        <v>0</v>
      </c>
      <c r="M90" s="65">
        <f>'FSS 805 Assumptions'!$B82</f>
        <v>0</v>
      </c>
      <c r="N90" s="156">
        <f t="shared" si="43"/>
        <v>0</v>
      </c>
      <c r="O90" s="65">
        <f>$M90*(1+'FSS 805 Assumptions'!$D82)</f>
        <v>0</v>
      </c>
      <c r="P90" s="65">
        <f>$M90*(1+'FSS 805 Assumptions'!$D82)</f>
        <v>0</v>
      </c>
      <c r="Q90" s="65">
        <f>$M90*(1+'FSS 805 Assumptions'!$D82)</f>
        <v>0</v>
      </c>
      <c r="R90" s="65">
        <f>$M90*(1+'FSS 805 Assumptions'!$D82)</f>
        <v>0</v>
      </c>
      <c r="S90" s="65">
        <f>$M90*(1+'FSS 805 Assumptions'!$D82)</f>
        <v>0</v>
      </c>
      <c r="T90" s="65">
        <f>$M90*(1+'FSS 805 Assumptions'!$D82)</f>
        <v>0</v>
      </c>
      <c r="U90" s="65">
        <f>$M90*(1+'FSS 805 Assumptions'!$D82)</f>
        <v>0</v>
      </c>
      <c r="V90" s="65">
        <f>$M90*(1+'FSS 805 Assumptions'!$D82)</f>
        <v>0</v>
      </c>
      <c r="W90" s="65">
        <f>$M90*(1+'FSS 805 Assumptions'!$D82)</f>
        <v>0</v>
      </c>
      <c r="X90" s="65">
        <f>$M90*(1+'FSS 805 Assumptions'!$D82)</f>
        <v>0</v>
      </c>
      <c r="Y90" s="65">
        <f>$M90*(1+'FSS 805 Assumptions'!$D82)</f>
        <v>0</v>
      </c>
      <c r="Z90" s="65">
        <f>$M90*(1+'FSS 805 Assumptions'!$D82)</f>
        <v>0</v>
      </c>
      <c r="AA90" s="59">
        <f t="shared" si="44"/>
        <v>0</v>
      </c>
      <c r="AB90" s="65">
        <f>$Z90*(1+'FSS 805 Assumptions'!$E82)</f>
        <v>0</v>
      </c>
      <c r="AC90" s="65">
        <f>$Z90*(1+'FSS 805 Assumptions'!$E82)</f>
        <v>0</v>
      </c>
      <c r="AD90" s="65">
        <f>$Z90*(1+'FSS 805 Assumptions'!$E82)</f>
        <v>0</v>
      </c>
      <c r="AE90" s="65">
        <f>$Z90*(1+'FSS 805 Assumptions'!$E82)</f>
        <v>0</v>
      </c>
      <c r="AF90" s="65">
        <f>$Z90*(1+'FSS 805 Assumptions'!$E82)</f>
        <v>0</v>
      </c>
      <c r="AG90" s="65">
        <f>$Z90*(1+'FSS 805 Assumptions'!$E82)</f>
        <v>0</v>
      </c>
      <c r="AH90" s="65">
        <f>$Z90*(1+'FSS 805 Assumptions'!$E82)</f>
        <v>0</v>
      </c>
      <c r="AI90" s="65">
        <f>$Z90*(1+'FSS 805 Assumptions'!$E82)</f>
        <v>0</v>
      </c>
      <c r="AJ90" s="65">
        <f>$Z90*(1+'FSS 805 Assumptions'!$E82)</f>
        <v>0</v>
      </c>
      <c r="AK90" s="65">
        <f>$Z90*(1+'FSS 805 Assumptions'!$E82)</f>
        <v>0</v>
      </c>
      <c r="AL90" s="65">
        <f>$Z90*(1+'FSS 805 Assumptions'!$E82)</f>
        <v>0</v>
      </c>
      <c r="AM90" s="65">
        <f>$Z90*(1+'FSS 805 Assumptions'!$E82)</f>
        <v>0</v>
      </c>
      <c r="AN90" s="172">
        <f>AA90*(1+'FSS 805 Assumptions'!E82)</f>
        <v>0</v>
      </c>
      <c r="AO90" s="65">
        <f>$AM90*(1+'FSS 805 Assumptions'!$F82)</f>
        <v>0</v>
      </c>
      <c r="AP90" s="65">
        <f>$AM90*(1+'FSS 805 Assumptions'!$F82)</f>
        <v>0</v>
      </c>
      <c r="AQ90" s="65">
        <f>$AM90*(1+'FSS 805 Assumptions'!$F82)</f>
        <v>0</v>
      </c>
      <c r="AR90" s="65">
        <f>$AM90*(1+'FSS 805 Assumptions'!$F82)</f>
        <v>0</v>
      </c>
      <c r="AS90" s="65">
        <f>$AM90*(1+'FSS 805 Assumptions'!$F82)</f>
        <v>0</v>
      </c>
      <c r="AT90" s="65">
        <f>$AM90*(1+'FSS 805 Assumptions'!$F82)</f>
        <v>0</v>
      </c>
      <c r="AU90" s="65">
        <f>$AM90*(1+'FSS 805 Assumptions'!$F82)</f>
        <v>0</v>
      </c>
      <c r="AV90" s="65">
        <f>$AM90*(1+'FSS 805 Assumptions'!$F82)</f>
        <v>0</v>
      </c>
      <c r="AW90" s="65">
        <f>$AM90*(1+'FSS 805 Assumptions'!$F82)</f>
        <v>0</v>
      </c>
      <c r="AX90" s="65">
        <f>$AM90*(1+'FSS 805 Assumptions'!$F82)</f>
        <v>0</v>
      </c>
      <c r="AY90" s="65">
        <f>$AM90*(1+'FSS 805 Assumptions'!$F82)</f>
        <v>0</v>
      </c>
      <c r="AZ90" s="65">
        <f>$AM90*(1+'FSS 805 Assumptions'!$F82)</f>
        <v>0</v>
      </c>
      <c r="BA90" s="59">
        <f t="shared" si="45"/>
        <v>0</v>
      </c>
      <c r="BB90" s="172">
        <f>BA90*(1+'FSS 805 Assumptions'!G82)</f>
        <v>0</v>
      </c>
    </row>
    <row r="91" spans="1:55" x14ac:dyDescent="0.2">
      <c r="A91" s="76" t="s">
        <v>236</v>
      </c>
      <c r="B91" s="65">
        <f>'FSS 805 Assumptions'!$B83</f>
        <v>650</v>
      </c>
      <c r="C91" s="65">
        <f>'FSS 805 Assumptions'!$B83</f>
        <v>650</v>
      </c>
      <c r="D91" s="65">
        <f>'FSS 805 Assumptions'!$B83</f>
        <v>650</v>
      </c>
      <c r="E91" s="65">
        <f>'FSS 805 Assumptions'!$B83</f>
        <v>650</v>
      </c>
      <c r="F91" s="65">
        <f>'FSS 805 Assumptions'!$B83</f>
        <v>650</v>
      </c>
      <c r="G91" s="65">
        <f>'FSS 805 Assumptions'!$B83</f>
        <v>650</v>
      </c>
      <c r="H91" s="65">
        <f>'FSS 805 Assumptions'!$B83</f>
        <v>650</v>
      </c>
      <c r="I91" s="65">
        <f>'FSS 805 Assumptions'!$B83</f>
        <v>650</v>
      </c>
      <c r="J91" s="65">
        <f>'FSS 805 Assumptions'!$B83</f>
        <v>650</v>
      </c>
      <c r="K91" s="65">
        <f>'FSS 805 Assumptions'!$B83</f>
        <v>650</v>
      </c>
      <c r="L91" s="65">
        <f>'FSS 805 Assumptions'!$B83</f>
        <v>650</v>
      </c>
      <c r="M91" s="65">
        <f>'FSS 805 Assumptions'!$B83</f>
        <v>650</v>
      </c>
      <c r="N91" s="156">
        <f t="shared" si="43"/>
        <v>7800</v>
      </c>
      <c r="O91" s="65">
        <f>$M91*(1+'FSS 805 Assumptions'!$D83)</f>
        <v>669.5</v>
      </c>
      <c r="P91" s="65">
        <f>$M91*(1+'FSS 805 Assumptions'!$D83)</f>
        <v>669.5</v>
      </c>
      <c r="Q91" s="65">
        <f>$M91*(1+'FSS 805 Assumptions'!$D83)</f>
        <v>669.5</v>
      </c>
      <c r="R91" s="65">
        <f>$M91*(1+'FSS 805 Assumptions'!$D83)</f>
        <v>669.5</v>
      </c>
      <c r="S91" s="65">
        <f>$M91*(1+'FSS 805 Assumptions'!$D83)</f>
        <v>669.5</v>
      </c>
      <c r="T91" s="65">
        <f>$M91*(1+'FSS 805 Assumptions'!$D83)</f>
        <v>669.5</v>
      </c>
      <c r="U91" s="65">
        <f>$M91*(1+'FSS 805 Assumptions'!$D83)</f>
        <v>669.5</v>
      </c>
      <c r="V91" s="65">
        <f>$M91*(1+'FSS 805 Assumptions'!$D83)</f>
        <v>669.5</v>
      </c>
      <c r="W91" s="65">
        <f>$M91*(1+'FSS 805 Assumptions'!$D83)</f>
        <v>669.5</v>
      </c>
      <c r="X91" s="65">
        <f>$M91*(1+'FSS 805 Assumptions'!$D83)</f>
        <v>669.5</v>
      </c>
      <c r="Y91" s="65">
        <f>$M91*(1+'FSS 805 Assumptions'!$D83)</f>
        <v>669.5</v>
      </c>
      <c r="Z91" s="65">
        <f>$M91*(1+'FSS 805 Assumptions'!$D83)</f>
        <v>669.5</v>
      </c>
      <c r="AA91" s="59">
        <f t="shared" si="44"/>
        <v>8034</v>
      </c>
      <c r="AB91" s="65">
        <f>$Z91*(1+'FSS 805 Assumptions'!$E83)</f>
        <v>689.58500000000004</v>
      </c>
      <c r="AC91" s="65">
        <f>$Z91*(1+'FSS 805 Assumptions'!$E83)</f>
        <v>689.58500000000004</v>
      </c>
      <c r="AD91" s="65">
        <f>$Z91*(1+'FSS 805 Assumptions'!$E83)</f>
        <v>689.58500000000004</v>
      </c>
      <c r="AE91" s="65">
        <f>$Z91*(1+'FSS 805 Assumptions'!$E83)</f>
        <v>689.58500000000004</v>
      </c>
      <c r="AF91" s="65">
        <f>$Z91*(1+'FSS 805 Assumptions'!$E83)</f>
        <v>689.58500000000004</v>
      </c>
      <c r="AG91" s="65">
        <f>$Z91*(1+'FSS 805 Assumptions'!$E83)</f>
        <v>689.58500000000004</v>
      </c>
      <c r="AH91" s="65">
        <f>$Z91*(1+'FSS 805 Assumptions'!$E83)</f>
        <v>689.58500000000004</v>
      </c>
      <c r="AI91" s="65">
        <f>$Z91*(1+'FSS 805 Assumptions'!$E83)</f>
        <v>689.58500000000004</v>
      </c>
      <c r="AJ91" s="65">
        <f>$Z91*(1+'FSS 805 Assumptions'!$E83)</f>
        <v>689.58500000000004</v>
      </c>
      <c r="AK91" s="65">
        <f>$Z91*(1+'FSS 805 Assumptions'!$E83)</f>
        <v>689.58500000000004</v>
      </c>
      <c r="AL91" s="65">
        <f>$Z91*(1+'FSS 805 Assumptions'!$E83)</f>
        <v>689.58500000000004</v>
      </c>
      <c r="AM91" s="65">
        <f>$Z91*(1+'FSS 805 Assumptions'!$E83)</f>
        <v>689.58500000000004</v>
      </c>
      <c r="AN91" s="172">
        <f>AA91*(1+'FSS 805 Assumptions'!E83)</f>
        <v>8275.02</v>
      </c>
      <c r="AO91" s="65">
        <f>$AM91*(1+'FSS 805 Assumptions'!$F83)</f>
        <v>710.27255000000002</v>
      </c>
      <c r="AP91" s="65">
        <f>$AM91*(1+'FSS 805 Assumptions'!$F83)</f>
        <v>710.27255000000002</v>
      </c>
      <c r="AQ91" s="65">
        <f>$AM91*(1+'FSS 805 Assumptions'!$F83)</f>
        <v>710.27255000000002</v>
      </c>
      <c r="AR91" s="65">
        <f>$AM91*(1+'FSS 805 Assumptions'!$F83)</f>
        <v>710.27255000000002</v>
      </c>
      <c r="AS91" s="65">
        <f>$AM91*(1+'FSS 805 Assumptions'!$F83)</f>
        <v>710.27255000000002</v>
      </c>
      <c r="AT91" s="65">
        <f>$AM91*(1+'FSS 805 Assumptions'!$F83)</f>
        <v>710.27255000000002</v>
      </c>
      <c r="AU91" s="65">
        <f>$AM91*(1+'FSS 805 Assumptions'!$F83)</f>
        <v>710.27255000000002</v>
      </c>
      <c r="AV91" s="65">
        <f>$AM91*(1+'FSS 805 Assumptions'!$F83)</f>
        <v>710.27255000000002</v>
      </c>
      <c r="AW91" s="65">
        <f>$AM91*(1+'FSS 805 Assumptions'!$F83)</f>
        <v>710.27255000000002</v>
      </c>
      <c r="AX91" s="65">
        <f>$AM91*(1+'FSS 805 Assumptions'!$F83)</f>
        <v>710.27255000000002</v>
      </c>
      <c r="AY91" s="65">
        <f>$AM91*(1+'FSS 805 Assumptions'!$F83)</f>
        <v>710.27255000000002</v>
      </c>
      <c r="AZ91" s="65">
        <f>$AM91*(1+'FSS 805 Assumptions'!$F83)</f>
        <v>710.27255000000002</v>
      </c>
      <c r="BA91" s="59">
        <f t="shared" si="45"/>
        <v>8523.270599999998</v>
      </c>
      <c r="BB91" s="172">
        <f>BA91*(1+'FSS 805 Assumptions'!G83)</f>
        <v>8778.9687179999983</v>
      </c>
    </row>
    <row r="92" spans="1:55" x14ac:dyDescent="0.2">
      <c r="A92" s="76" t="s">
        <v>407</v>
      </c>
      <c r="B92" s="65">
        <f>'FSS 805 Assumptions'!$B84</f>
        <v>250</v>
      </c>
      <c r="C92" s="65">
        <f>'FSS 805 Assumptions'!$B84</f>
        <v>250</v>
      </c>
      <c r="D92" s="65">
        <f>'FSS 805 Assumptions'!$B84</f>
        <v>250</v>
      </c>
      <c r="E92" s="65">
        <f>'FSS 805 Assumptions'!$B84</f>
        <v>250</v>
      </c>
      <c r="F92" s="65">
        <f>'FSS 805 Assumptions'!$B84</f>
        <v>250</v>
      </c>
      <c r="G92" s="65">
        <f>'FSS 805 Assumptions'!$B84</f>
        <v>250</v>
      </c>
      <c r="H92" s="65">
        <f>'FSS 805 Assumptions'!$B84</f>
        <v>250</v>
      </c>
      <c r="I92" s="65">
        <f>'FSS 805 Assumptions'!$B84</f>
        <v>250</v>
      </c>
      <c r="J92" s="65">
        <f>'FSS 805 Assumptions'!$B84</f>
        <v>250</v>
      </c>
      <c r="K92" s="65">
        <f>'FSS 805 Assumptions'!$B84</f>
        <v>250</v>
      </c>
      <c r="L92" s="65">
        <f>'FSS 805 Assumptions'!$B84</f>
        <v>250</v>
      </c>
      <c r="M92" s="65">
        <f>'FSS 805 Assumptions'!$B84</f>
        <v>250</v>
      </c>
      <c r="N92" s="156">
        <f t="shared" ref="N92:N93" si="46">SUM(B92:M92)</f>
        <v>3000</v>
      </c>
      <c r="O92" s="65">
        <f>$M92*(1+'FSS 805 Assumptions'!$D84)</f>
        <v>257.5</v>
      </c>
      <c r="P92" s="65">
        <f>$M92*(1+'FSS 805 Assumptions'!$D84)</f>
        <v>257.5</v>
      </c>
      <c r="Q92" s="65">
        <f>$M92*(1+'FSS 805 Assumptions'!$D84)</f>
        <v>257.5</v>
      </c>
      <c r="R92" s="65">
        <f>$M92*(1+'FSS 805 Assumptions'!$D84)</f>
        <v>257.5</v>
      </c>
      <c r="S92" s="65">
        <f>$M92*(1+'FSS 805 Assumptions'!$D84)</f>
        <v>257.5</v>
      </c>
      <c r="T92" s="65">
        <f>$M92*(1+'FSS 805 Assumptions'!$D84)</f>
        <v>257.5</v>
      </c>
      <c r="U92" s="65">
        <f>$M92*(1+'FSS 805 Assumptions'!$D84)</f>
        <v>257.5</v>
      </c>
      <c r="V92" s="65">
        <f>$M92*(1+'FSS 805 Assumptions'!$D84)</f>
        <v>257.5</v>
      </c>
      <c r="W92" s="65">
        <f>$M92*(1+'FSS 805 Assumptions'!$D84)</f>
        <v>257.5</v>
      </c>
      <c r="X92" s="65">
        <f>$M92*(1+'FSS 805 Assumptions'!$D84)</f>
        <v>257.5</v>
      </c>
      <c r="Y92" s="65">
        <f>$M92*(1+'FSS 805 Assumptions'!$D84)</f>
        <v>257.5</v>
      </c>
      <c r="Z92" s="65">
        <f>$M92*(1+'FSS 805 Assumptions'!$D84)</f>
        <v>257.5</v>
      </c>
      <c r="AA92" s="59">
        <f t="shared" si="44"/>
        <v>3090</v>
      </c>
      <c r="AB92" s="65">
        <f>$Z92*(1+'FSS 805 Assumptions'!$E84)</f>
        <v>265.22500000000002</v>
      </c>
      <c r="AC92" s="65">
        <f>$Z92*(1+'FSS 805 Assumptions'!$E84)</f>
        <v>265.22500000000002</v>
      </c>
      <c r="AD92" s="65">
        <f>$Z92*(1+'FSS 805 Assumptions'!$E84)</f>
        <v>265.22500000000002</v>
      </c>
      <c r="AE92" s="65">
        <f>$Z92*(1+'FSS 805 Assumptions'!$E84)</f>
        <v>265.22500000000002</v>
      </c>
      <c r="AF92" s="65">
        <f>$Z92*(1+'FSS 805 Assumptions'!$E84)</f>
        <v>265.22500000000002</v>
      </c>
      <c r="AG92" s="65">
        <f>$Z92*(1+'FSS 805 Assumptions'!$E84)</f>
        <v>265.22500000000002</v>
      </c>
      <c r="AH92" s="65">
        <f>$Z92*(1+'FSS 805 Assumptions'!$E84)</f>
        <v>265.22500000000002</v>
      </c>
      <c r="AI92" s="65">
        <f>$Z92*(1+'FSS 805 Assumptions'!$E84)</f>
        <v>265.22500000000002</v>
      </c>
      <c r="AJ92" s="65">
        <f>$Z92*(1+'FSS 805 Assumptions'!$E84)</f>
        <v>265.22500000000002</v>
      </c>
      <c r="AK92" s="65">
        <f>$Z92*(1+'FSS 805 Assumptions'!$E84)</f>
        <v>265.22500000000002</v>
      </c>
      <c r="AL92" s="65">
        <f>$Z92*(1+'FSS 805 Assumptions'!$E84)</f>
        <v>265.22500000000002</v>
      </c>
      <c r="AM92" s="65">
        <f>$Z92*(1+'FSS 805 Assumptions'!$E84)</f>
        <v>265.22500000000002</v>
      </c>
      <c r="AN92" s="172">
        <f>AA92*(1+'FSS 805 Assumptions'!E84)</f>
        <v>3182.7000000000003</v>
      </c>
      <c r="AO92" s="65">
        <f>$AM92*(1+'FSS 805 Assumptions'!$F84)</f>
        <v>273.18175000000002</v>
      </c>
      <c r="AP92" s="65">
        <f>$AM92*(1+'FSS 805 Assumptions'!$F84)</f>
        <v>273.18175000000002</v>
      </c>
      <c r="AQ92" s="65">
        <f>$AM92*(1+'FSS 805 Assumptions'!$F84)</f>
        <v>273.18175000000002</v>
      </c>
      <c r="AR92" s="65">
        <f>$AM92*(1+'FSS 805 Assumptions'!$F84)</f>
        <v>273.18175000000002</v>
      </c>
      <c r="AS92" s="65">
        <f>$AM92*(1+'FSS 805 Assumptions'!$F84)</f>
        <v>273.18175000000002</v>
      </c>
      <c r="AT92" s="65">
        <f>$AM92*(1+'FSS 805 Assumptions'!$F84)</f>
        <v>273.18175000000002</v>
      </c>
      <c r="AU92" s="65">
        <f>$AM92*(1+'FSS 805 Assumptions'!$F84)</f>
        <v>273.18175000000002</v>
      </c>
      <c r="AV92" s="65">
        <f>$AM92*(1+'FSS 805 Assumptions'!$F84)</f>
        <v>273.18175000000002</v>
      </c>
      <c r="AW92" s="65">
        <f>$AM92*(1+'FSS 805 Assumptions'!$F84)</f>
        <v>273.18175000000002</v>
      </c>
      <c r="AX92" s="65">
        <f>$AM92*(1+'FSS 805 Assumptions'!$F84)</f>
        <v>273.18175000000002</v>
      </c>
      <c r="AY92" s="65">
        <f>$AM92*(1+'FSS 805 Assumptions'!$F84)</f>
        <v>273.18175000000002</v>
      </c>
      <c r="AZ92" s="65">
        <f>$AM92*(1+'FSS 805 Assumptions'!$F84)</f>
        <v>273.18175000000002</v>
      </c>
      <c r="BA92" s="59">
        <f t="shared" si="45"/>
        <v>3278.1810000000009</v>
      </c>
      <c r="BB92" s="172">
        <f>BA92*(1+'FSS 805 Assumptions'!G84)</f>
        <v>3376.5264300000013</v>
      </c>
    </row>
    <row r="93" spans="1:55" x14ac:dyDescent="0.2">
      <c r="A93" s="7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60">
        <f t="shared" si="46"/>
        <v>0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132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174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174"/>
      <c r="BB93" s="174"/>
      <c r="BC93" s="64"/>
    </row>
    <row r="94" spans="1:55" s="80" customFormat="1" collapsed="1" x14ac:dyDescent="0.2">
      <c r="A94" s="90" t="s">
        <v>216</v>
      </c>
      <c r="B94" s="81">
        <f t="shared" ref="B94:BB94" si="47">SUM(B87:B93)</f>
        <v>11750</v>
      </c>
      <c r="C94" s="81">
        <f t="shared" si="47"/>
        <v>11750</v>
      </c>
      <c r="D94" s="81">
        <f t="shared" si="47"/>
        <v>11750</v>
      </c>
      <c r="E94" s="81">
        <f t="shared" si="47"/>
        <v>11750</v>
      </c>
      <c r="F94" s="81">
        <f t="shared" si="47"/>
        <v>11750</v>
      </c>
      <c r="G94" s="81">
        <f t="shared" si="47"/>
        <v>11750</v>
      </c>
      <c r="H94" s="81">
        <f t="shared" si="47"/>
        <v>11750</v>
      </c>
      <c r="I94" s="81">
        <f t="shared" si="47"/>
        <v>11750</v>
      </c>
      <c r="J94" s="81">
        <f t="shared" si="47"/>
        <v>11750</v>
      </c>
      <c r="K94" s="81">
        <f t="shared" si="47"/>
        <v>11750</v>
      </c>
      <c r="L94" s="81">
        <f t="shared" si="47"/>
        <v>11750</v>
      </c>
      <c r="M94" s="81">
        <f t="shared" si="47"/>
        <v>11750</v>
      </c>
      <c r="N94" s="81">
        <f t="shared" si="47"/>
        <v>141000</v>
      </c>
      <c r="O94" s="81">
        <f t="shared" si="47"/>
        <v>12102.5</v>
      </c>
      <c r="P94" s="81">
        <f t="shared" si="47"/>
        <v>12102.5</v>
      </c>
      <c r="Q94" s="81">
        <f t="shared" si="47"/>
        <v>12102.5</v>
      </c>
      <c r="R94" s="81">
        <f t="shared" si="47"/>
        <v>12102.5</v>
      </c>
      <c r="S94" s="81">
        <f t="shared" si="47"/>
        <v>12102.5</v>
      </c>
      <c r="T94" s="81">
        <f t="shared" si="47"/>
        <v>12102.5</v>
      </c>
      <c r="U94" s="81">
        <f t="shared" si="47"/>
        <v>12102.5</v>
      </c>
      <c r="V94" s="81">
        <f t="shared" si="47"/>
        <v>12102.5</v>
      </c>
      <c r="W94" s="81">
        <f t="shared" si="47"/>
        <v>12102.5</v>
      </c>
      <c r="X94" s="81">
        <f t="shared" si="47"/>
        <v>12102.5</v>
      </c>
      <c r="Y94" s="81">
        <f t="shared" si="47"/>
        <v>12102.5</v>
      </c>
      <c r="Z94" s="81">
        <f t="shared" si="47"/>
        <v>12102.5</v>
      </c>
      <c r="AA94" s="81">
        <f t="shared" si="47"/>
        <v>145230</v>
      </c>
      <c r="AB94" s="81">
        <f t="shared" si="47"/>
        <v>13150.525</v>
      </c>
      <c r="AC94" s="81">
        <f t="shared" si="47"/>
        <v>13150.525</v>
      </c>
      <c r="AD94" s="81">
        <f t="shared" si="47"/>
        <v>13150.525</v>
      </c>
      <c r="AE94" s="81">
        <f t="shared" si="47"/>
        <v>13150.525</v>
      </c>
      <c r="AF94" s="81">
        <f t="shared" si="47"/>
        <v>13150.525</v>
      </c>
      <c r="AG94" s="81">
        <f t="shared" si="47"/>
        <v>13150.525</v>
      </c>
      <c r="AH94" s="81">
        <f t="shared" si="47"/>
        <v>13150.525</v>
      </c>
      <c r="AI94" s="81">
        <f t="shared" si="47"/>
        <v>13150.525</v>
      </c>
      <c r="AJ94" s="81">
        <f t="shared" si="47"/>
        <v>13150.525</v>
      </c>
      <c r="AK94" s="81">
        <f t="shared" si="47"/>
        <v>13150.525</v>
      </c>
      <c r="AL94" s="81">
        <f t="shared" si="47"/>
        <v>13150.525</v>
      </c>
      <c r="AM94" s="81">
        <f t="shared" si="47"/>
        <v>13150.525</v>
      </c>
      <c r="AN94" s="81">
        <f t="shared" si="47"/>
        <v>157806.30000000002</v>
      </c>
      <c r="AO94" s="81">
        <f t="shared" si="47"/>
        <v>13545.04075</v>
      </c>
      <c r="AP94" s="81">
        <f t="shared" si="47"/>
        <v>13545.04075</v>
      </c>
      <c r="AQ94" s="81">
        <f t="shared" si="47"/>
        <v>13545.04075</v>
      </c>
      <c r="AR94" s="81">
        <f t="shared" si="47"/>
        <v>13545.04075</v>
      </c>
      <c r="AS94" s="81">
        <f t="shared" si="47"/>
        <v>13545.04075</v>
      </c>
      <c r="AT94" s="81">
        <f t="shared" si="47"/>
        <v>13545.04075</v>
      </c>
      <c r="AU94" s="81">
        <f t="shared" si="47"/>
        <v>13545.04075</v>
      </c>
      <c r="AV94" s="81">
        <f t="shared" si="47"/>
        <v>13545.04075</v>
      </c>
      <c r="AW94" s="81">
        <f t="shared" si="47"/>
        <v>13545.04075</v>
      </c>
      <c r="AX94" s="81">
        <f t="shared" si="47"/>
        <v>13545.04075</v>
      </c>
      <c r="AY94" s="81">
        <f t="shared" si="47"/>
        <v>13545.04075</v>
      </c>
      <c r="AZ94" s="81">
        <f t="shared" si="47"/>
        <v>13545.04075</v>
      </c>
      <c r="BA94" s="81">
        <f t="shared" si="47"/>
        <v>162540.489</v>
      </c>
      <c r="BB94" s="81">
        <f t="shared" si="47"/>
        <v>167416.70366999999</v>
      </c>
    </row>
    <row r="95" spans="1:55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159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168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168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168"/>
      <c r="BB95" s="168"/>
    </row>
    <row r="96" spans="1:55" x14ac:dyDescent="0.2">
      <c r="A96" s="74" t="s">
        <v>225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159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168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168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168"/>
      <c r="BB96" s="168"/>
    </row>
    <row r="97" spans="1:54" x14ac:dyDescent="0.2">
      <c r="A97" s="76" t="s">
        <v>226</v>
      </c>
      <c r="B97" s="65">
        <f>'FSS 805 Assumptions'!$B87</f>
        <v>2500</v>
      </c>
      <c r="C97" s="65">
        <f>'FSS 805 Assumptions'!$B87</f>
        <v>2500</v>
      </c>
      <c r="D97" s="65">
        <f>'FSS 805 Assumptions'!$B87</f>
        <v>2500</v>
      </c>
      <c r="E97" s="65">
        <f>'FSS 805 Assumptions'!$B87</f>
        <v>2500</v>
      </c>
      <c r="F97" s="65">
        <f>'FSS 805 Assumptions'!$B87</f>
        <v>2500</v>
      </c>
      <c r="G97" s="65">
        <f>'FSS 805 Assumptions'!$B87</f>
        <v>2500</v>
      </c>
      <c r="H97" s="65">
        <f>'FSS 805 Assumptions'!$B87</f>
        <v>2500</v>
      </c>
      <c r="I97" s="65">
        <f>'FSS 805 Assumptions'!$B87</f>
        <v>2500</v>
      </c>
      <c r="J97" s="65">
        <f>'FSS 805 Assumptions'!$B87</f>
        <v>2500</v>
      </c>
      <c r="K97" s="65">
        <f>'FSS 805 Assumptions'!$B87</f>
        <v>2500</v>
      </c>
      <c r="L97" s="65">
        <f>'FSS 805 Assumptions'!$B87</f>
        <v>2500</v>
      </c>
      <c r="M97" s="65">
        <f>'FSS 805 Assumptions'!$B87</f>
        <v>2500</v>
      </c>
      <c r="N97" s="156">
        <f t="shared" ref="N97:N99" si="48">SUM(B97:M97)</f>
        <v>30000</v>
      </c>
      <c r="O97" s="65">
        <f>$M97*(1+'FSS 805 Assumptions'!$D87)</f>
        <v>2650</v>
      </c>
      <c r="P97" s="65">
        <f>$M97*(1+'FSS 805 Assumptions'!$D87)</f>
        <v>2650</v>
      </c>
      <c r="Q97" s="65">
        <f>$M97*(1+'FSS 805 Assumptions'!$D87)</f>
        <v>2650</v>
      </c>
      <c r="R97" s="65">
        <f>$M97*(1+'FSS 805 Assumptions'!$D87)</f>
        <v>2650</v>
      </c>
      <c r="S97" s="65">
        <f>$M97*(1+'FSS 805 Assumptions'!$D87)</f>
        <v>2650</v>
      </c>
      <c r="T97" s="65">
        <f>$M97*(1+'FSS 805 Assumptions'!$D87)</f>
        <v>2650</v>
      </c>
      <c r="U97" s="65">
        <f>$M97*(1+'FSS 805 Assumptions'!$D87)</f>
        <v>2650</v>
      </c>
      <c r="V97" s="65">
        <f>$M97*(1+'FSS 805 Assumptions'!$D87)</f>
        <v>2650</v>
      </c>
      <c r="W97" s="65">
        <f>$M97*(1+'FSS 805 Assumptions'!$D87)</f>
        <v>2650</v>
      </c>
      <c r="X97" s="65">
        <f>$M97*(1+'FSS 805 Assumptions'!$D87)</f>
        <v>2650</v>
      </c>
      <c r="Y97" s="65">
        <f>$M97*(1+'FSS 805 Assumptions'!$D87)</f>
        <v>2650</v>
      </c>
      <c r="Z97" s="65">
        <f>$M97*(1+'FSS 805 Assumptions'!$D87)</f>
        <v>2650</v>
      </c>
      <c r="AA97" s="59">
        <f>SUM(O97:Z97)</f>
        <v>31800</v>
      </c>
      <c r="AB97" s="65">
        <f>$Z97*(1+'FSS 805 Assumptions'!$E87)</f>
        <v>2756</v>
      </c>
      <c r="AC97" s="65">
        <f>$Z97*(1+'FSS 805 Assumptions'!$E87)</f>
        <v>2756</v>
      </c>
      <c r="AD97" s="65">
        <f>$Z97*(1+'FSS 805 Assumptions'!$E87)</f>
        <v>2756</v>
      </c>
      <c r="AE97" s="65">
        <f>$Z97*(1+'FSS 805 Assumptions'!$E87)</f>
        <v>2756</v>
      </c>
      <c r="AF97" s="65">
        <f>$Z97*(1+'FSS 805 Assumptions'!$E87)</f>
        <v>2756</v>
      </c>
      <c r="AG97" s="65">
        <f>$Z97*(1+'FSS 805 Assumptions'!$E87)</f>
        <v>2756</v>
      </c>
      <c r="AH97" s="65">
        <f>$Z97*(1+'FSS 805 Assumptions'!$E87)</f>
        <v>2756</v>
      </c>
      <c r="AI97" s="65">
        <f>$Z97*(1+'FSS 805 Assumptions'!$E87)</f>
        <v>2756</v>
      </c>
      <c r="AJ97" s="65">
        <f>$Z97*(1+'FSS 805 Assumptions'!$E87)</f>
        <v>2756</v>
      </c>
      <c r="AK97" s="65">
        <f>$Z97*(1+'FSS 805 Assumptions'!$E87)</f>
        <v>2756</v>
      </c>
      <c r="AL97" s="65">
        <f>$Z97*(1+'FSS 805 Assumptions'!$E87)</f>
        <v>2756</v>
      </c>
      <c r="AM97" s="65">
        <f>$Z97*(1+'FSS 805 Assumptions'!$E87)</f>
        <v>2756</v>
      </c>
      <c r="AN97" s="172">
        <f>AA97*(1+'FSS 805 Assumptions'!E87)</f>
        <v>33072</v>
      </c>
      <c r="AO97" s="65">
        <f>$AM97*(1+'FSS 805 Assumptions'!$F87)</f>
        <v>2838.6800000000003</v>
      </c>
      <c r="AP97" s="65">
        <f>$AM97*(1+'FSS 805 Assumptions'!$F87)</f>
        <v>2838.6800000000003</v>
      </c>
      <c r="AQ97" s="65">
        <f>$AM97*(1+'FSS 805 Assumptions'!$F87)</f>
        <v>2838.6800000000003</v>
      </c>
      <c r="AR97" s="65">
        <f>$AM97*(1+'FSS 805 Assumptions'!$F87)</f>
        <v>2838.6800000000003</v>
      </c>
      <c r="AS97" s="65">
        <f>$AM97*(1+'FSS 805 Assumptions'!$F87)</f>
        <v>2838.6800000000003</v>
      </c>
      <c r="AT97" s="65">
        <f>$AM97*(1+'FSS 805 Assumptions'!$F87)</f>
        <v>2838.6800000000003</v>
      </c>
      <c r="AU97" s="65">
        <f>$AM97*(1+'FSS 805 Assumptions'!$F87)</f>
        <v>2838.6800000000003</v>
      </c>
      <c r="AV97" s="65">
        <f>$AM97*(1+'FSS 805 Assumptions'!$F87)</f>
        <v>2838.6800000000003</v>
      </c>
      <c r="AW97" s="65">
        <f>$AM97*(1+'FSS 805 Assumptions'!$F87)</f>
        <v>2838.6800000000003</v>
      </c>
      <c r="AX97" s="65">
        <f>$AM97*(1+'FSS 805 Assumptions'!$F87)</f>
        <v>2838.6800000000003</v>
      </c>
      <c r="AY97" s="65">
        <f>$AM97*(1+'FSS 805 Assumptions'!$F87)</f>
        <v>2838.6800000000003</v>
      </c>
      <c r="AZ97" s="65">
        <f>$AM97*(1+'FSS 805 Assumptions'!$F87)</f>
        <v>2838.6800000000003</v>
      </c>
      <c r="BA97" s="59">
        <f t="shared" ref="BA97:BA99" si="49">SUM(AO97:AZ97)</f>
        <v>34064.160000000003</v>
      </c>
      <c r="BB97" s="172">
        <f>BA97*(1+'FSS 805 Assumptions'!G87)</f>
        <v>35086.084800000004</v>
      </c>
    </row>
    <row r="98" spans="1:54" x14ac:dyDescent="0.2">
      <c r="A98" s="76" t="s">
        <v>227</v>
      </c>
      <c r="B98" s="65">
        <f>'FSS 805 Assumptions'!$B88</f>
        <v>1600</v>
      </c>
      <c r="C98" s="65">
        <f>'FSS 805 Assumptions'!$B88</f>
        <v>1600</v>
      </c>
      <c r="D98" s="65">
        <f>'FSS 805 Assumptions'!$B88</f>
        <v>1600</v>
      </c>
      <c r="E98" s="65">
        <f>'FSS 805 Assumptions'!$B88</f>
        <v>1600</v>
      </c>
      <c r="F98" s="65">
        <f>'FSS 805 Assumptions'!$B88</f>
        <v>1600</v>
      </c>
      <c r="G98" s="65">
        <f>'FSS 805 Assumptions'!$B88</f>
        <v>1600</v>
      </c>
      <c r="H98" s="65">
        <f>'FSS 805 Assumptions'!$B88</f>
        <v>1600</v>
      </c>
      <c r="I98" s="65">
        <f>'FSS 805 Assumptions'!$B88</f>
        <v>1600</v>
      </c>
      <c r="J98" s="65">
        <f>'FSS 805 Assumptions'!$B88</f>
        <v>1600</v>
      </c>
      <c r="K98" s="65">
        <f>'FSS 805 Assumptions'!$B88</f>
        <v>1600</v>
      </c>
      <c r="L98" s="65">
        <f>'FSS 805 Assumptions'!$B88</f>
        <v>1600</v>
      </c>
      <c r="M98" s="65">
        <f>'FSS 805 Assumptions'!$B88</f>
        <v>1600</v>
      </c>
      <c r="N98" s="156">
        <f t="shared" si="48"/>
        <v>19200</v>
      </c>
      <c r="O98" s="65">
        <f>$M98*(1+'FSS 805 Assumptions'!$D88)</f>
        <v>1696</v>
      </c>
      <c r="P98" s="65">
        <f>$M98*(1+'FSS 805 Assumptions'!$D88)</f>
        <v>1696</v>
      </c>
      <c r="Q98" s="65">
        <f>$M98*(1+'FSS 805 Assumptions'!$D88)</f>
        <v>1696</v>
      </c>
      <c r="R98" s="65">
        <f>$M98*(1+'FSS 805 Assumptions'!$D88)</f>
        <v>1696</v>
      </c>
      <c r="S98" s="65">
        <f>$M98*(1+'FSS 805 Assumptions'!$D88)</f>
        <v>1696</v>
      </c>
      <c r="T98" s="65">
        <f>$M98*(1+'FSS 805 Assumptions'!$D88)</f>
        <v>1696</v>
      </c>
      <c r="U98" s="65">
        <f>$M98*(1+'FSS 805 Assumptions'!$D88)</f>
        <v>1696</v>
      </c>
      <c r="V98" s="65">
        <f>$M98*(1+'FSS 805 Assumptions'!$D88)</f>
        <v>1696</v>
      </c>
      <c r="W98" s="65">
        <f>$M98*(1+'FSS 805 Assumptions'!$D88)</f>
        <v>1696</v>
      </c>
      <c r="X98" s="65">
        <f>$M98*(1+'FSS 805 Assumptions'!$D88)</f>
        <v>1696</v>
      </c>
      <c r="Y98" s="65">
        <f>$M98*(1+'FSS 805 Assumptions'!$D88)</f>
        <v>1696</v>
      </c>
      <c r="Z98" s="65">
        <f>$M98*(1+'FSS 805 Assumptions'!$D88)</f>
        <v>1696</v>
      </c>
      <c r="AA98" s="59">
        <f>SUM(O98:Z98)</f>
        <v>20352</v>
      </c>
      <c r="AB98" s="65">
        <f>$Z98*(1+'FSS 805 Assumptions'!$E88)</f>
        <v>1763.8400000000001</v>
      </c>
      <c r="AC98" s="65">
        <f>$Z98*(1+'FSS 805 Assumptions'!$E88)</f>
        <v>1763.8400000000001</v>
      </c>
      <c r="AD98" s="65">
        <f>$Z98*(1+'FSS 805 Assumptions'!$E88)</f>
        <v>1763.8400000000001</v>
      </c>
      <c r="AE98" s="65">
        <f>$Z98*(1+'FSS 805 Assumptions'!$E88)</f>
        <v>1763.8400000000001</v>
      </c>
      <c r="AF98" s="65">
        <f>$Z98*(1+'FSS 805 Assumptions'!$E88)</f>
        <v>1763.8400000000001</v>
      </c>
      <c r="AG98" s="65">
        <f>$Z98*(1+'FSS 805 Assumptions'!$E88)</f>
        <v>1763.8400000000001</v>
      </c>
      <c r="AH98" s="65">
        <f>$Z98*(1+'FSS 805 Assumptions'!$E88)</f>
        <v>1763.8400000000001</v>
      </c>
      <c r="AI98" s="65">
        <f>$Z98*(1+'FSS 805 Assumptions'!$E88)</f>
        <v>1763.8400000000001</v>
      </c>
      <c r="AJ98" s="65">
        <f>$Z98*(1+'FSS 805 Assumptions'!$E88)</f>
        <v>1763.8400000000001</v>
      </c>
      <c r="AK98" s="65">
        <f>$Z98*(1+'FSS 805 Assumptions'!$E88)</f>
        <v>1763.8400000000001</v>
      </c>
      <c r="AL98" s="65">
        <f>$Z98*(1+'FSS 805 Assumptions'!$E88)</f>
        <v>1763.8400000000001</v>
      </c>
      <c r="AM98" s="65">
        <f>$Z98*(1+'FSS 805 Assumptions'!$E88)</f>
        <v>1763.8400000000001</v>
      </c>
      <c r="AN98" s="172">
        <f>AA98*(1+'FSS 805 Assumptions'!E88)</f>
        <v>21166.080000000002</v>
      </c>
      <c r="AO98" s="65">
        <f>$AM98*(1+'FSS 805 Assumptions'!$F88)</f>
        <v>1816.7552000000003</v>
      </c>
      <c r="AP98" s="65">
        <f>$AM98*(1+'FSS 805 Assumptions'!$F88)</f>
        <v>1816.7552000000003</v>
      </c>
      <c r="AQ98" s="65">
        <f>$AM98*(1+'FSS 805 Assumptions'!$F88)</f>
        <v>1816.7552000000003</v>
      </c>
      <c r="AR98" s="65">
        <f>$AM98*(1+'FSS 805 Assumptions'!$F88)</f>
        <v>1816.7552000000003</v>
      </c>
      <c r="AS98" s="65">
        <f>$AM98*(1+'FSS 805 Assumptions'!$F88)</f>
        <v>1816.7552000000003</v>
      </c>
      <c r="AT98" s="65">
        <f>$AM98*(1+'FSS 805 Assumptions'!$F88)</f>
        <v>1816.7552000000003</v>
      </c>
      <c r="AU98" s="65">
        <f>$AM98*(1+'FSS 805 Assumptions'!$F88)</f>
        <v>1816.7552000000003</v>
      </c>
      <c r="AV98" s="65">
        <f>$AM98*(1+'FSS 805 Assumptions'!$F88)</f>
        <v>1816.7552000000003</v>
      </c>
      <c r="AW98" s="65">
        <f>$AM98*(1+'FSS 805 Assumptions'!$F88)</f>
        <v>1816.7552000000003</v>
      </c>
      <c r="AX98" s="65">
        <f>$AM98*(1+'FSS 805 Assumptions'!$F88)</f>
        <v>1816.7552000000003</v>
      </c>
      <c r="AY98" s="65">
        <f>$AM98*(1+'FSS 805 Assumptions'!$F88)</f>
        <v>1816.7552000000003</v>
      </c>
      <c r="AZ98" s="65">
        <f>$AM98*(1+'FSS 805 Assumptions'!$F88)</f>
        <v>1816.7552000000003</v>
      </c>
      <c r="BA98" s="59">
        <f t="shared" si="49"/>
        <v>21801.062399999999</v>
      </c>
      <c r="BB98" s="172">
        <f>BA98*(1+'FSS 805 Assumptions'!G88)</f>
        <v>22455.094271999998</v>
      </c>
    </row>
    <row r="99" spans="1:54" x14ac:dyDescent="0.2">
      <c r="A99" s="76" t="s">
        <v>231</v>
      </c>
      <c r="B99" s="65">
        <f>'FSS 805 Assumptions'!$B89</f>
        <v>100</v>
      </c>
      <c r="C99" s="65">
        <f>'FSS 805 Assumptions'!$B89</f>
        <v>100</v>
      </c>
      <c r="D99" s="65">
        <f>'FSS 805 Assumptions'!$B89</f>
        <v>100</v>
      </c>
      <c r="E99" s="65">
        <f>'FSS 805 Assumptions'!$B89</f>
        <v>100</v>
      </c>
      <c r="F99" s="65">
        <f>'FSS 805 Assumptions'!$B89</f>
        <v>100</v>
      </c>
      <c r="G99" s="65">
        <f>'FSS 805 Assumptions'!$B89</f>
        <v>100</v>
      </c>
      <c r="H99" s="65">
        <f>'FSS 805 Assumptions'!$B89</f>
        <v>100</v>
      </c>
      <c r="I99" s="65">
        <f>'FSS 805 Assumptions'!$B89</f>
        <v>100</v>
      </c>
      <c r="J99" s="65">
        <f>'FSS 805 Assumptions'!$B89</f>
        <v>100</v>
      </c>
      <c r="K99" s="65">
        <f>'FSS 805 Assumptions'!$B89</f>
        <v>100</v>
      </c>
      <c r="L99" s="65">
        <f>'FSS 805 Assumptions'!$B89</f>
        <v>100</v>
      </c>
      <c r="M99" s="65">
        <f>'FSS 805 Assumptions'!$B89</f>
        <v>100</v>
      </c>
      <c r="N99" s="156">
        <f t="shared" si="48"/>
        <v>1200</v>
      </c>
      <c r="O99" s="65">
        <f>$M99*(1+'FSS 805 Assumptions'!$D89)</f>
        <v>106</v>
      </c>
      <c r="P99" s="65">
        <f>$M99*(1+'FSS 805 Assumptions'!$D89)</f>
        <v>106</v>
      </c>
      <c r="Q99" s="65">
        <f>$M99*(1+'FSS 805 Assumptions'!$D89)</f>
        <v>106</v>
      </c>
      <c r="R99" s="65">
        <f>$M99*(1+'FSS 805 Assumptions'!$D89)</f>
        <v>106</v>
      </c>
      <c r="S99" s="65">
        <f>$M99*(1+'FSS 805 Assumptions'!$D89)</f>
        <v>106</v>
      </c>
      <c r="T99" s="65">
        <f>$M99*(1+'FSS 805 Assumptions'!$D89)</f>
        <v>106</v>
      </c>
      <c r="U99" s="65">
        <f>$M99*(1+'FSS 805 Assumptions'!$D89)</f>
        <v>106</v>
      </c>
      <c r="V99" s="65">
        <f>$M99*(1+'FSS 805 Assumptions'!$D89)</f>
        <v>106</v>
      </c>
      <c r="W99" s="65">
        <f>$M99*(1+'FSS 805 Assumptions'!$D89)</f>
        <v>106</v>
      </c>
      <c r="X99" s="65">
        <f>$M99*(1+'FSS 805 Assumptions'!$D89)</f>
        <v>106</v>
      </c>
      <c r="Y99" s="65">
        <f>$M99*(1+'FSS 805 Assumptions'!$D89)</f>
        <v>106</v>
      </c>
      <c r="Z99" s="65">
        <f>$M99*(1+'FSS 805 Assumptions'!$D89)</f>
        <v>106</v>
      </c>
      <c r="AA99" s="59">
        <f>SUM(O99:Z99)</f>
        <v>1272</v>
      </c>
      <c r="AB99" s="65">
        <f>$Z99*(1+'FSS 805 Assumptions'!$E89)</f>
        <v>110.24000000000001</v>
      </c>
      <c r="AC99" s="65">
        <f>$Z99*(1+'FSS 805 Assumptions'!$E89)</f>
        <v>110.24000000000001</v>
      </c>
      <c r="AD99" s="65">
        <f>$Z99*(1+'FSS 805 Assumptions'!$E89)</f>
        <v>110.24000000000001</v>
      </c>
      <c r="AE99" s="65">
        <f>$Z99*(1+'FSS 805 Assumptions'!$E89)</f>
        <v>110.24000000000001</v>
      </c>
      <c r="AF99" s="65">
        <f>$Z99*(1+'FSS 805 Assumptions'!$E89)</f>
        <v>110.24000000000001</v>
      </c>
      <c r="AG99" s="65">
        <f>$Z99*(1+'FSS 805 Assumptions'!$E89)</f>
        <v>110.24000000000001</v>
      </c>
      <c r="AH99" s="65">
        <f>$Z99*(1+'FSS 805 Assumptions'!$E89)</f>
        <v>110.24000000000001</v>
      </c>
      <c r="AI99" s="65">
        <f>$Z99*(1+'FSS 805 Assumptions'!$E89)</f>
        <v>110.24000000000001</v>
      </c>
      <c r="AJ99" s="65">
        <f>$Z99*(1+'FSS 805 Assumptions'!$E89)</f>
        <v>110.24000000000001</v>
      </c>
      <c r="AK99" s="65">
        <f>$Z99*(1+'FSS 805 Assumptions'!$E89)</f>
        <v>110.24000000000001</v>
      </c>
      <c r="AL99" s="65">
        <f>$Z99*(1+'FSS 805 Assumptions'!$E89)</f>
        <v>110.24000000000001</v>
      </c>
      <c r="AM99" s="65">
        <f>$Z99*(1+'FSS 805 Assumptions'!$E89)</f>
        <v>110.24000000000001</v>
      </c>
      <c r="AN99" s="172">
        <f>AA99*(1+'FSS 805 Assumptions'!E89)</f>
        <v>1322.88</v>
      </c>
      <c r="AO99" s="65">
        <f>$AM99*(1+'FSS 805 Assumptions'!$F89)</f>
        <v>113.54720000000002</v>
      </c>
      <c r="AP99" s="65">
        <f>$AM99*(1+'FSS 805 Assumptions'!$F89)</f>
        <v>113.54720000000002</v>
      </c>
      <c r="AQ99" s="65">
        <f>$AM99*(1+'FSS 805 Assumptions'!$F89)</f>
        <v>113.54720000000002</v>
      </c>
      <c r="AR99" s="65">
        <f>$AM99*(1+'FSS 805 Assumptions'!$F89)</f>
        <v>113.54720000000002</v>
      </c>
      <c r="AS99" s="65">
        <f>$AM99*(1+'FSS 805 Assumptions'!$F89)</f>
        <v>113.54720000000002</v>
      </c>
      <c r="AT99" s="65">
        <f>$AM99*(1+'FSS 805 Assumptions'!$F89)</f>
        <v>113.54720000000002</v>
      </c>
      <c r="AU99" s="65">
        <f>$AM99*(1+'FSS 805 Assumptions'!$F89)</f>
        <v>113.54720000000002</v>
      </c>
      <c r="AV99" s="65">
        <f>$AM99*(1+'FSS 805 Assumptions'!$F89)</f>
        <v>113.54720000000002</v>
      </c>
      <c r="AW99" s="65">
        <f>$AM99*(1+'FSS 805 Assumptions'!$F89)</f>
        <v>113.54720000000002</v>
      </c>
      <c r="AX99" s="65">
        <f>$AM99*(1+'FSS 805 Assumptions'!$F89)</f>
        <v>113.54720000000002</v>
      </c>
      <c r="AY99" s="65">
        <f>$AM99*(1+'FSS 805 Assumptions'!$F89)</f>
        <v>113.54720000000002</v>
      </c>
      <c r="AZ99" s="65">
        <f>$AM99*(1+'FSS 805 Assumptions'!$F89)</f>
        <v>113.54720000000002</v>
      </c>
      <c r="BA99" s="59">
        <f t="shared" si="49"/>
        <v>1362.5663999999999</v>
      </c>
      <c r="BB99" s="172">
        <f>BA99*(1+'FSS 805 Assumptions'!G89)</f>
        <v>1403.4433919999999</v>
      </c>
    </row>
    <row r="100" spans="1:54" x14ac:dyDescent="0.2">
      <c r="A100" s="7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160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132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174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174"/>
      <c r="BB100" s="174"/>
    </row>
    <row r="101" spans="1:54" s="80" customFormat="1" collapsed="1" x14ac:dyDescent="0.2">
      <c r="A101" s="90" t="s">
        <v>101</v>
      </c>
      <c r="B101" s="81">
        <f t="shared" ref="B101:BB101" si="50">SUM(B97:B100)</f>
        <v>4200</v>
      </c>
      <c r="C101" s="81">
        <f t="shared" si="50"/>
        <v>4200</v>
      </c>
      <c r="D101" s="81">
        <f t="shared" si="50"/>
        <v>4200</v>
      </c>
      <c r="E101" s="81">
        <f t="shared" si="50"/>
        <v>4200</v>
      </c>
      <c r="F101" s="81">
        <f t="shared" si="50"/>
        <v>4200</v>
      </c>
      <c r="G101" s="81">
        <f t="shared" si="50"/>
        <v>4200</v>
      </c>
      <c r="H101" s="81">
        <f t="shared" si="50"/>
        <v>4200</v>
      </c>
      <c r="I101" s="81">
        <f t="shared" si="50"/>
        <v>4200</v>
      </c>
      <c r="J101" s="81">
        <f t="shared" si="50"/>
        <v>4200</v>
      </c>
      <c r="K101" s="81">
        <f t="shared" si="50"/>
        <v>4200</v>
      </c>
      <c r="L101" s="81">
        <f t="shared" si="50"/>
        <v>4200</v>
      </c>
      <c r="M101" s="81">
        <f t="shared" si="50"/>
        <v>4200</v>
      </c>
      <c r="N101" s="81">
        <f t="shared" si="50"/>
        <v>50400</v>
      </c>
      <c r="O101" s="81">
        <f t="shared" si="50"/>
        <v>4452</v>
      </c>
      <c r="P101" s="81">
        <f t="shared" si="50"/>
        <v>4452</v>
      </c>
      <c r="Q101" s="81">
        <f t="shared" si="50"/>
        <v>4452</v>
      </c>
      <c r="R101" s="81">
        <f t="shared" si="50"/>
        <v>4452</v>
      </c>
      <c r="S101" s="81">
        <f t="shared" si="50"/>
        <v>4452</v>
      </c>
      <c r="T101" s="81">
        <f t="shared" si="50"/>
        <v>4452</v>
      </c>
      <c r="U101" s="81">
        <f t="shared" si="50"/>
        <v>4452</v>
      </c>
      <c r="V101" s="81">
        <f t="shared" si="50"/>
        <v>4452</v>
      </c>
      <c r="W101" s="81">
        <f t="shared" si="50"/>
        <v>4452</v>
      </c>
      <c r="X101" s="81">
        <f t="shared" si="50"/>
        <v>4452</v>
      </c>
      <c r="Y101" s="81">
        <f t="shared" si="50"/>
        <v>4452</v>
      </c>
      <c r="Z101" s="81">
        <f t="shared" si="50"/>
        <v>4452</v>
      </c>
      <c r="AA101" s="81">
        <f t="shared" si="50"/>
        <v>53424</v>
      </c>
      <c r="AB101" s="81">
        <f t="shared" si="50"/>
        <v>4630.08</v>
      </c>
      <c r="AC101" s="81">
        <f t="shared" ref="AC101:AM101" si="51">SUM(AC97:AC100)</f>
        <v>4630.08</v>
      </c>
      <c r="AD101" s="81">
        <f t="shared" si="51"/>
        <v>4630.08</v>
      </c>
      <c r="AE101" s="81">
        <f t="shared" si="51"/>
        <v>4630.08</v>
      </c>
      <c r="AF101" s="81">
        <f t="shared" si="51"/>
        <v>4630.08</v>
      </c>
      <c r="AG101" s="81">
        <f t="shared" si="51"/>
        <v>4630.08</v>
      </c>
      <c r="AH101" s="81">
        <f t="shared" si="51"/>
        <v>4630.08</v>
      </c>
      <c r="AI101" s="81">
        <f t="shared" si="51"/>
        <v>4630.08</v>
      </c>
      <c r="AJ101" s="81">
        <f t="shared" si="51"/>
        <v>4630.08</v>
      </c>
      <c r="AK101" s="81">
        <f t="shared" si="51"/>
        <v>4630.08</v>
      </c>
      <c r="AL101" s="81">
        <f t="shared" si="51"/>
        <v>4630.08</v>
      </c>
      <c r="AM101" s="81">
        <f t="shared" si="51"/>
        <v>4630.08</v>
      </c>
      <c r="AN101" s="81">
        <f t="shared" si="50"/>
        <v>55560.959999999999</v>
      </c>
      <c r="AO101" s="81">
        <f t="shared" si="50"/>
        <v>4768.9824000000008</v>
      </c>
      <c r="AP101" s="81">
        <f t="shared" ref="AP101:AZ101" si="52">SUM(AP97:AP100)</f>
        <v>4768.9824000000008</v>
      </c>
      <c r="AQ101" s="81">
        <f t="shared" si="52"/>
        <v>4768.9824000000008</v>
      </c>
      <c r="AR101" s="81">
        <f t="shared" si="52"/>
        <v>4768.9824000000008</v>
      </c>
      <c r="AS101" s="81">
        <f t="shared" si="52"/>
        <v>4768.9824000000008</v>
      </c>
      <c r="AT101" s="81">
        <f t="shared" si="52"/>
        <v>4768.9824000000008</v>
      </c>
      <c r="AU101" s="81">
        <f t="shared" si="52"/>
        <v>4768.9824000000008</v>
      </c>
      <c r="AV101" s="81">
        <f t="shared" si="52"/>
        <v>4768.9824000000008</v>
      </c>
      <c r="AW101" s="81">
        <f t="shared" si="52"/>
        <v>4768.9824000000008</v>
      </c>
      <c r="AX101" s="81">
        <f t="shared" si="52"/>
        <v>4768.9824000000008</v>
      </c>
      <c r="AY101" s="81">
        <f t="shared" si="52"/>
        <v>4768.9824000000008</v>
      </c>
      <c r="AZ101" s="81">
        <f t="shared" si="52"/>
        <v>4768.9824000000008</v>
      </c>
      <c r="BA101" s="81">
        <f t="shared" si="50"/>
        <v>57227.788800000002</v>
      </c>
      <c r="BB101" s="81">
        <f t="shared" si="50"/>
        <v>58944.622464</v>
      </c>
    </row>
    <row r="102" spans="1:54" x14ac:dyDescent="0.2">
      <c r="A102" s="76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159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168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168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168"/>
      <c r="BB102" s="168"/>
    </row>
    <row r="103" spans="1:54" x14ac:dyDescent="0.2">
      <c r="A103" s="74" t="s">
        <v>102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159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168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168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168"/>
      <c r="BB103" s="168"/>
    </row>
    <row r="104" spans="1:54" x14ac:dyDescent="0.2">
      <c r="A104" s="76" t="s">
        <v>260</v>
      </c>
      <c r="B104" s="65">
        <f>'FSS 805 Assumptions'!$B92</f>
        <v>1000</v>
      </c>
      <c r="C104" s="65">
        <f>'FSS 805 Assumptions'!$B92</f>
        <v>1000</v>
      </c>
      <c r="D104" s="65">
        <f>'FSS 805 Assumptions'!$B92</f>
        <v>1000</v>
      </c>
      <c r="E104" s="65">
        <f>'FSS 805 Assumptions'!$B92</f>
        <v>1000</v>
      </c>
      <c r="F104" s="65">
        <f>'FSS 805 Assumptions'!$B92</f>
        <v>1000</v>
      </c>
      <c r="G104" s="65">
        <f>'FSS 805 Assumptions'!$B92</f>
        <v>1000</v>
      </c>
      <c r="H104" s="65">
        <f>'FSS 805 Assumptions'!$B92</f>
        <v>1000</v>
      </c>
      <c r="I104" s="65">
        <f>'FSS 805 Assumptions'!$B92</f>
        <v>1000</v>
      </c>
      <c r="J104" s="65">
        <f>'FSS 805 Assumptions'!$B92</f>
        <v>1000</v>
      </c>
      <c r="K104" s="65">
        <f>'FSS 805 Assumptions'!$B92</f>
        <v>1000</v>
      </c>
      <c r="L104" s="65">
        <f>'FSS 805 Assumptions'!$B92</f>
        <v>1000</v>
      </c>
      <c r="M104" s="65">
        <f>'FSS 805 Assumptions'!$B92</f>
        <v>1000</v>
      </c>
      <c r="N104" s="156">
        <f>SUM(B104:M104)</f>
        <v>12000</v>
      </c>
      <c r="O104" s="65">
        <f>$M104*(1+'FSS 805 Assumptions'!$D92)</f>
        <v>1050</v>
      </c>
      <c r="P104" s="65">
        <f>$M104*(1+'FSS 805 Assumptions'!$D92)</f>
        <v>1050</v>
      </c>
      <c r="Q104" s="65">
        <f>$M104*(1+'FSS 805 Assumptions'!$D92)</f>
        <v>1050</v>
      </c>
      <c r="R104" s="65">
        <f>$M104*(1+'FSS 805 Assumptions'!$D92)</f>
        <v>1050</v>
      </c>
      <c r="S104" s="65">
        <f>$M104*(1+'FSS 805 Assumptions'!$D92)</f>
        <v>1050</v>
      </c>
      <c r="T104" s="65">
        <f>$M104*(1+'FSS 805 Assumptions'!$D92)</f>
        <v>1050</v>
      </c>
      <c r="U104" s="65">
        <f>$M104*(1+'FSS 805 Assumptions'!$D92)</f>
        <v>1050</v>
      </c>
      <c r="V104" s="65">
        <f>$M104*(1+'FSS 805 Assumptions'!$D92)</f>
        <v>1050</v>
      </c>
      <c r="W104" s="65">
        <f>$M104*(1+'FSS 805 Assumptions'!$D92)</f>
        <v>1050</v>
      </c>
      <c r="X104" s="65">
        <f>$M104*(1+'FSS 805 Assumptions'!$D92)</f>
        <v>1050</v>
      </c>
      <c r="Y104" s="65">
        <f>$M104*(1+'FSS 805 Assumptions'!$D92)</f>
        <v>1050</v>
      </c>
      <c r="Z104" s="65">
        <f>$M104*(1+'FSS 805 Assumptions'!$D92)</f>
        <v>1050</v>
      </c>
      <c r="AA104" s="59">
        <f>SUM(O104:Z104)</f>
        <v>12600</v>
      </c>
      <c r="AB104" s="65">
        <f>$Z104*(1+'FSS 805 Assumptions'!$E92)</f>
        <v>1102.5</v>
      </c>
      <c r="AC104" s="65">
        <f>$Z104*(1+'FSS 805 Assumptions'!$E92)</f>
        <v>1102.5</v>
      </c>
      <c r="AD104" s="65">
        <f>$Z104*(1+'FSS 805 Assumptions'!$E92)</f>
        <v>1102.5</v>
      </c>
      <c r="AE104" s="65">
        <f>$Z104*(1+'FSS 805 Assumptions'!$E92)</f>
        <v>1102.5</v>
      </c>
      <c r="AF104" s="65">
        <f>$Z104*(1+'FSS 805 Assumptions'!$E92)</f>
        <v>1102.5</v>
      </c>
      <c r="AG104" s="65">
        <f>$Z104*(1+'FSS 805 Assumptions'!$E92)</f>
        <v>1102.5</v>
      </c>
      <c r="AH104" s="65">
        <f>$Z104*(1+'FSS 805 Assumptions'!$E92)</f>
        <v>1102.5</v>
      </c>
      <c r="AI104" s="65">
        <f>$Z104*(1+'FSS 805 Assumptions'!$E92)</f>
        <v>1102.5</v>
      </c>
      <c r="AJ104" s="65">
        <f>$Z104*(1+'FSS 805 Assumptions'!$E92)</f>
        <v>1102.5</v>
      </c>
      <c r="AK104" s="65">
        <f>$Z104*(1+'FSS 805 Assumptions'!$E92)</f>
        <v>1102.5</v>
      </c>
      <c r="AL104" s="65">
        <f>$Z104*(1+'FSS 805 Assumptions'!$E92)</f>
        <v>1102.5</v>
      </c>
      <c r="AM104" s="65">
        <f>$Z104*(1+'FSS 805 Assumptions'!$E92)</f>
        <v>1102.5</v>
      </c>
      <c r="AN104" s="172">
        <f>AA104*(1+'FSS 805 Assumptions'!E92)</f>
        <v>13230</v>
      </c>
      <c r="AO104" s="65">
        <f>$AM104*(1+'FSS 805 Assumptions'!$F92)</f>
        <v>1157.625</v>
      </c>
      <c r="AP104" s="65">
        <f>$AM104*(1+'FSS 805 Assumptions'!$F92)</f>
        <v>1157.625</v>
      </c>
      <c r="AQ104" s="65">
        <f>$AM104*(1+'FSS 805 Assumptions'!$F92)</f>
        <v>1157.625</v>
      </c>
      <c r="AR104" s="65">
        <f>$AM104*(1+'FSS 805 Assumptions'!$F92)</f>
        <v>1157.625</v>
      </c>
      <c r="AS104" s="65">
        <f>$AM104*(1+'FSS 805 Assumptions'!$F92)</f>
        <v>1157.625</v>
      </c>
      <c r="AT104" s="65">
        <f>$AM104*(1+'FSS 805 Assumptions'!$F92)</f>
        <v>1157.625</v>
      </c>
      <c r="AU104" s="65">
        <f>$AM104*(1+'FSS 805 Assumptions'!$F92)</f>
        <v>1157.625</v>
      </c>
      <c r="AV104" s="65">
        <f>$AM104*(1+'FSS 805 Assumptions'!$F92)</f>
        <v>1157.625</v>
      </c>
      <c r="AW104" s="65">
        <f>$AM104*(1+'FSS 805 Assumptions'!$F92)</f>
        <v>1157.625</v>
      </c>
      <c r="AX104" s="65">
        <f>$AM104*(1+'FSS 805 Assumptions'!$F92)</f>
        <v>1157.625</v>
      </c>
      <c r="AY104" s="65">
        <f>$AM104*(1+'FSS 805 Assumptions'!$F92)</f>
        <v>1157.625</v>
      </c>
      <c r="AZ104" s="65">
        <f>$AM104*(1+'FSS 805 Assumptions'!$F92)</f>
        <v>1157.625</v>
      </c>
      <c r="BA104" s="59">
        <f t="shared" ref="BA104:BA107" si="53">SUM(AO104:AZ104)</f>
        <v>13891.5</v>
      </c>
      <c r="BB104" s="172">
        <f>BA104*(1+'FSS 805 Assumptions'!G92)</f>
        <v>14586.075000000001</v>
      </c>
    </row>
    <row r="105" spans="1:54" x14ac:dyDescent="0.2">
      <c r="A105" s="76" t="s">
        <v>261</v>
      </c>
      <c r="B105" s="65">
        <f>'FSS 805 Assumptions'!$B93</f>
        <v>4000</v>
      </c>
      <c r="C105" s="65">
        <f>'FSS 805 Assumptions'!$B93</f>
        <v>4000</v>
      </c>
      <c r="D105" s="65">
        <f>'FSS 805 Assumptions'!$B93</f>
        <v>4000</v>
      </c>
      <c r="E105" s="65">
        <f>'FSS 805 Assumptions'!$B93</f>
        <v>4000</v>
      </c>
      <c r="F105" s="65">
        <f>'FSS 805 Assumptions'!$B93</f>
        <v>4000</v>
      </c>
      <c r="G105" s="65">
        <f>'FSS 805 Assumptions'!$B93</f>
        <v>4000</v>
      </c>
      <c r="H105" s="65">
        <f>'FSS 805 Assumptions'!$B93</f>
        <v>4000</v>
      </c>
      <c r="I105" s="65">
        <f>'FSS 805 Assumptions'!$B93</f>
        <v>4000</v>
      </c>
      <c r="J105" s="65">
        <f>'FSS 805 Assumptions'!$B93</f>
        <v>4000</v>
      </c>
      <c r="K105" s="65">
        <f>'FSS 805 Assumptions'!$B93</f>
        <v>4000</v>
      </c>
      <c r="L105" s="65">
        <f>'FSS 805 Assumptions'!$B93</f>
        <v>4000</v>
      </c>
      <c r="M105" s="65">
        <f>'FSS 805 Assumptions'!$B93</f>
        <v>4000</v>
      </c>
      <c r="N105" s="156">
        <f>SUM(B105:M105)</f>
        <v>48000</v>
      </c>
      <c r="O105" s="65">
        <f>$M105*(1+'FSS 805 Assumptions'!$D93)</f>
        <v>4200</v>
      </c>
      <c r="P105" s="65">
        <f>$M105*(1+'FSS 805 Assumptions'!$D93)</f>
        <v>4200</v>
      </c>
      <c r="Q105" s="65">
        <f>$M105*(1+'FSS 805 Assumptions'!$D93)</f>
        <v>4200</v>
      </c>
      <c r="R105" s="65">
        <f>$M105*(1+'FSS 805 Assumptions'!$D93)</f>
        <v>4200</v>
      </c>
      <c r="S105" s="65">
        <f>$M105*(1+'FSS 805 Assumptions'!$D93)</f>
        <v>4200</v>
      </c>
      <c r="T105" s="65">
        <f>$M105*(1+'FSS 805 Assumptions'!$D93)</f>
        <v>4200</v>
      </c>
      <c r="U105" s="65">
        <f>$M105*(1+'FSS 805 Assumptions'!$D93)</f>
        <v>4200</v>
      </c>
      <c r="V105" s="65">
        <f>$M105*(1+'FSS 805 Assumptions'!$D93)</f>
        <v>4200</v>
      </c>
      <c r="W105" s="65">
        <f>$M105*(1+'FSS 805 Assumptions'!$D93)</f>
        <v>4200</v>
      </c>
      <c r="X105" s="65">
        <f>$M105*(1+'FSS 805 Assumptions'!$D93)</f>
        <v>4200</v>
      </c>
      <c r="Y105" s="65">
        <f>$M105*(1+'FSS 805 Assumptions'!$D93)</f>
        <v>4200</v>
      </c>
      <c r="Z105" s="65">
        <f>$M105*(1+'FSS 805 Assumptions'!$D93)</f>
        <v>4200</v>
      </c>
      <c r="AA105" s="59">
        <f>SUM(O105:Z105)</f>
        <v>50400</v>
      </c>
      <c r="AB105" s="65">
        <f>$Z105*(1+'FSS 805 Assumptions'!$E93)</f>
        <v>4410</v>
      </c>
      <c r="AC105" s="65">
        <f>$Z105*(1+'FSS 805 Assumptions'!$E93)</f>
        <v>4410</v>
      </c>
      <c r="AD105" s="65">
        <f>$Z105*(1+'FSS 805 Assumptions'!$E93)</f>
        <v>4410</v>
      </c>
      <c r="AE105" s="65">
        <f>$Z105*(1+'FSS 805 Assumptions'!$E93)</f>
        <v>4410</v>
      </c>
      <c r="AF105" s="65">
        <f>$Z105*(1+'FSS 805 Assumptions'!$E93)</f>
        <v>4410</v>
      </c>
      <c r="AG105" s="65">
        <f>$Z105*(1+'FSS 805 Assumptions'!$E93)</f>
        <v>4410</v>
      </c>
      <c r="AH105" s="65">
        <f>$Z105*(1+'FSS 805 Assumptions'!$E93)</f>
        <v>4410</v>
      </c>
      <c r="AI105" s="65">
        <f>$Z105*(1+'FSS 805 Assumptions'!$E93)</f>
        <v>4410</v>
      </c>
      <c r="AJ105" s="65">
        <f>$Z105*(1+'FSS 805 Assumptions'!$E93)</f>
        <v>4410</v>
      </c>
      <c r="AK105" s="65">
        <f>$Z105*(1+'FSS 805 Assumptions'!$E93)</f>
        <v>4410</v>
      </c>
      <c r="AL105" s="65">
        <f>$Z105*(1+'FSS 805 Assumptions'!$E93)</f>
        <v>4410</v>
      </c>
      <c r="AM105" s="65">
        <f>$Z105*(1+'FSS 805 Assumptions'!$E93)</f>
        <v>4410</v>
      </c>
      <c r="AN105" s="172">
        <f>AA105*(1+'FSS 805 Assumptions'!E93)</f>
        <v>52920</v>
      </c>
      <c r="AO105" s="65">
        <f>$AM105*(1+'FSS 805 Assumptions'!$F93)</f>
        <v>4630.5</v>
      </c>
      <c r="AP105" s="65">
        <f>$AM105*(1+'FSS 805 Assumptions'!$F93)</f>
        <v>4630.5</v>
      </c>
      <c r="AQ105" s="65">
        <f>$AM105*(1+'FSS 805 Assumptions'!$F93)</f>
        <v>4630.5</v>
      </c>
      <c r="AR105" s="65">
        <f>$AM105*(1+'FSS 805 Assumptions'!$F93)</f>
        <v>4630.5</v>
      </c>
      <c r="AS105" s="65">
        <f>$AM105*(1+'FSS 805 Assumptions'!$F93)</f>
        <v>4630.5</v>
      </c>
      <c r="AT105" s="65">
        <f>$AM105*(1+'FSS 805 Assumptions'!$F93)</f>
        <v>4630.5</v>
      </c>
      <c r="AU105" s="65">
        <f>$AM105*(1+'FSS 805 Assumptions'!$F93)</f>
        <v>4630.5</v>
      </c>
      <c r="AV105" s="65">
        <f>$AM105*(1+'FSS 805 Assumptions'!$F93)</f>
        <v>4630.5</v>
      </c>
      <c r="AW105" s="65">
        <f>$AM105*(1+'FSS 805 Assumptions'!$F93)</f>
        <v>4630.5</v>
      </c>
      <c r="AX105" s="65">
        <f>$AM105*(1+'FSS 805 Assumptions'!$F93)</f>
        <v>4630.5</v>
      </c>
      <c r="AY105" s="65">
        <f>$AM105*(1+'FSS 805 Assumptions'!$F93)</f>
        <v>4630.5</v>
      </c>
      <c r="AZ105" s="65">
        <f>$AM105*(1+'FSS 805 Assumptions'!$F93)</f>
        <v>4630.5</v>
      </c>
      <c r="BA105" s="59">
        <f t="shared" si="53"/>
        <v>55566</v>
      </c>
      <c r="BB105" s="172">
        <f>BA105*(1+'FSS 805 Assumptions'!G93)</f>
        <v>58344.3</v>
      </c>
    </row>
    <row r="106" spans="1:54" x14ac:dyDescent="0.2">
      <c r="A106" s="76" t="s">
        <v>262</v>
      </c>
      <c r="B106" s="65">
        <f>'FSS 805 Assumptions'!$B94</f>
        <v>5000</v>
      </c>
      <c r="C106" s="65">
        <f>'FSS 805 Assumptions'!$B94</f>
        <v>5000</v>
      </c>
      <c r="D106" s="65">
        <f>'FSS 805 Assumptions'!$B94</f>
        <v>5000</v>
      </c>
      <c r="E106" s="65">
        <f>'FSS 805 Assumptions'!$B94</f>
        <v>5000</v>
      </c>
      <c r="F106" s="65">
        <f>'FSS 805 Assumptions'!$B94</f>
        <v>5000</v>
      </c>
      <c r="G106" s="65">
        <f>'FSS 805 Assumptions'!$B94</f>
        <v>5000</v>
      </c>
      <c r="H106" s="65">
        <f>'FSS 805 Assumptions'!$B94</f>
        <v>5000</v>
      </c>
      <c r="I106" s="65">
        <f>'FSS 805 Assumptions'!$B94</f>
        <v>5000</v>
      </c>
      <c r="J106" s="65">
        <f>'FSS 805 Assumptions'!$B94</f>
        <v>5000</v>
      </c>
      <c r="K106" s="65">
        <f>'FSS 805 Assumptions'!$B94</f>
        <v>5000</v>
      </c>
      <c r="L106" s="65">
        <f>'FSS 805 Assumptions'!$B94</f>
        <v>5000</v>
      </c>
      <c r="M106" s="65">
        <f>'FSS 805 Assumptions'!$B94</f>
        <v>5000</v>
      </c>
      <c r="N106" s="156">
        <f>SUM(B106:M106)</f>
        <v>60000</v>
      </c>
      <c r="O106" s="65">
        <f>$M106*(1+'FSS 805 Assumptions'!$D94)</f>
        <v>5250</v>
      </c>
      <c r="P106" s="65">
        <f>$M106*(1+'FSS 805 Assumptions'!$D94)</f>
        <v>5250</v>
      </c>
      <c r="Q106" s="65">
        <f>$M106*(1+'FSS 805 Assumptions'!$D94)</f>
        <v>5250</v>
      </c>
      <c r="R106" s="65">
        <f>$M106*(1+'FSS 805 Assumptions'!$D94)</f>
        <v>5250</v>
      </c>
      <c r="S106" s="65">
        <f>$M106*(1+'FSS 805 Assumptions'!$D94)</f>
        <v>5250</v>
      </c>
      <c r="T106" s="65">
        <f>$M106*(1+'FSS 805 Assumptions'!$D94)</f>
        <v>5250</v>
      </c>
      <c r="U106" s="65">
        <f>$M106*(1+'FSS 805 Assumptions'!$D94)</f>
        <v>5250</v>
      </c>
      <c r="V106" s="65">
        <f>$M106*(1+'FSS 805 Assumptions'!$D94)</f>
        <v>5250</v>
      </c>
      <c r="W106" s="65">
        <f>$M106*(1+'FSS 805 Assumptions'!$D94)</f>
        <v>5250</v>
      </c>
      <c r="X106" s="65">
        <f>$M106*(1+'FSS 805 Assumptions'!$D94)</f>
        <v>5250</v>
      </c>
      <c r="Y106" s="65">
        <f>$M106*(1+'FSS 805 Assumptions'!$D94)</f>
        <v>5250</v>
      </c>
      <c r="Z106" s="65">
        <f>$M106*(1+'FSS 805 Assumptions'!$D94)</f>
        <v>5250</v>
      </c>
      <c r="AA106" s="59">
        <f>SUM(O106:Z106)</f>
        <v>63000</v>
      </c>
      <c r="AB106" s="65">
        <f>$Z106*(1+'FSS 805 Assumptions'!$E94)</f>
        <v>5512.5</v>
      </c>
      <c r="AC106" s="65">
        <f>$Z106*(1+'FSS 805 Assumptions'!$E94)</f>
        <v>5512.5</v>
      </c>
      <c r="AD106" s="65">
        <f>$Z106*(1+'FSS 805 Assumptions'!$E94)</f>
        <v>5512.5</v>
      </c>
      <c r="AE106" s="65">
        <f>$Z106*(1+'FSS 805 Assumptions'!$E94)</f>
        <v>5512.5</v>
      </c>
      <c r="AF106" s="65">
        <f>$Z106*(1+'FSS 805 Assumptions'!$E94)</f>
        <v>5512.5</v>
      </c>
      <c r="AG106" s="65">
        <f>$Z106*(1+'FSS 805 Assumptions'!$E94)</f>
        <v>5512.5</v>
      </c>
      <c r="AH106" s="65">
        <f>$Z106*(1+'FSS 805 Assumptions'!$E94)</f>
        <v>5512.5</v>
      </c>
      <c r="AI106" s="65">
        <f>$Z106*(1+'FSS 805 Assumptions'!$E94)</f>
        <v>5512.5</v>
      </c>
      <c r="AJ106" s="65">
        <f>$Z106*(1+'FSS 805 Assumptions'!$E94)</f>
        <v>5512.5</v>
      </c>
      <c r="AK106" s="65">
        <f>$Z106*(1+'FSS 805 Assumptions'!$E94)</f>
        <v>5512.5</v>
      </c>
      <c r="AL106" s="65">
        <f>$Z106*(1+'FSS 805 Assumptions'!$E94)</f>
        <v>5512.5</v>
      </c>
      <c r="AM106" s="65">
        <f>$Z106*(1+'FSS 805 Assumptions'!$E94)</f>
        <v>5512.5</v>
      </c>
      <c r="AN106" s="172">
        <f>AA106*(1+'FSS 805 Assumptions'!E94)</f>
        <v>66150</v>
      </c>
      <c r="AO106" s="65">
        <f>$AM106*(1+'FSS 805 Assumptions'!$F94)</f>
        <v>5788.125</v>
      </c>
      <c r="AP106" s="65">
        <f>$AM106*(1+'FSS 805 Assumptions'!$F94)</f>
        <v>5788.125</v>
      </c>
      <c r="AQ106" s="65">
        <f>$AM106*(1+'FSS 805 Assumptions'!$F94)</f>
        <v>5788.125</v>
      </c>
      <c r="AR106" s="65">
        <f>$AM106*(1+'FSS 805 Assumptions'!$F94)</f>
        <v>5788.125</v>
      </c>
      <c r="AS106" s="65">
        <f>$AM106*(1+'FSS 805 Assumptions'!$F94)</f>
        <v>5788.125</v>
      </c>
      <c r="AT106" s="65">
        <f>$AM106*(1+'FSS 805 Assumptions'!$F94)</f>
        <v>5788.125</v>
      </c>
      <c r="AU106" s="65">
        <f>$AM106*(1+'FSS 805 Assumptions'!$F94)</f>
        <v>5788.125</v>
      </c>
      <c r="AV106" s="65">
        <f>$AM106*(1+'FSS 805 Assumptions'!$F94)</f>
        <v>5788.125</v>
      </c>
      <c r="AW106" s="65">
        <f>$AM106*(1+'FSS 805 Assumptions'!$F94)</f>
        <v>5788.125</v>
      </c>
      <c r="AX106" s="65">
        <f>$AM106*(1+'FSS 805 Assumptions'!$F94)</f>
        <v>5788.125</v>
      </c>
      <c r="AY106" s="65">
        <f>$AM106*(1+'FSS 805 Assumptions'!$F94)</f>
        <v>5788.125</v>
      </c>
      <c r="AZ106" s="65">
        <f>$AM106*(1+'FSS 805 Assumptions'!$F94)</f>
        <v>5788.125</v>
      </c>
      <c r="BA106" s="59">
        <f t="shared" si="53"/>
        <v>69457.5</v>
      </c>
      <c r="BB106" s="172">
        <f>BA106*(1+'FSS 805 Assumptions'!G94)</f>
        <v>72930.375</v>
      </c>
    </row>
    <row r="107" spans="1:54" x14ac:dyDescent="0.2">
      <c r="A107" s="76" t="s">
        <v>263</v>
      </c>
      <c r="B107" s="65">
        <f>'FSS 805 Assumptions'!$B95</f>
        <v>10800</v>
      </c>
      <c r="C107" s="65">
        <f>'FSS 805 Assumptions'!$B95</f>
        <v>10800</v>
      </c>
      <c r="D107" s="65">
        <f>'FSS 805 Assumptions'!$B95</f>
        <v>10800</v>
      </c>
      <c r="E107" s="65">
        <f>'FSS 805 Assumptions'!$B95</f>
        <v>10800</v>
      </c>
      <c r="F107" s="65">
        <f>'FSS 805 Assumptions'!$B95</f>
        <v>10800</v>
      </c>
      <c r="G107" s="65">
        <f>'FSS 805 Assumptions'!$B95</f>
        <v>10800</v>
      </c>
      <c r="H107" s="65">
        <f>'FSS 805 Assumptions'!$B95</f>
        <v>10800</v>
      </c>
      <c r="I107" s="65">
        <f>'FSS 805 Assumptions'!$B95</f>
        <v>10800</v>
      </c>
      <c r="J107" s="65">
        <f>'FSS 805 Assumptions'!$B95</f>
        <v>10800</v>
      </c>
      <c r="K107" s="65">
        <f>'FSS 805 Assumptions'!$B95</f>
        <v>10800</v>
      </c>
      <c r="L107" s="65">
        <f>'FSS 805 Assumptions'!$B95</f>
        <v>10800</v>
      </c>
      <c r="M107" s="65">
        <f>'FSS 805 Assumptions'!$B95</f>
        <v>10800</v>
      </c>
      <c r="N107" s="158">
        <f>SUM(B107:M107)</f>
        <v>129600</v>
      </c>
      <c r="O107" s="65">
        <f>$M107*(1+'FSS 805 Assumptions'!$D95)</f>
        <v>11340</v>
      </c>
      <c r="P107" s="65">
        <f>$M107*(1+'FSS 805 Assumptions'!$D95)</f>
        <v>11340</v>
      </c>
      <c r="Q107" s="65">
        <f>$M107*(1+'FSS 805 Assumptions'!$D95)</f>
        <v>11340</v>
      </c>
      <c r="R107" s="65">
        <f>$M107*(1+'FSS 805 Assumptions'!$D95)</f>
        <v>11340</v>
      </c>
      <c r="S107" s="65">
        <f>$M107*(1+'FSS 805 Assumptions'!$D95)</f>
        <v>11340</v>
      </c>
      <c r="T107" s="65">
        <f>$M107*(1+'FSS 805 Assumptions'!$D95)</f>
        <v>11340</v>
      </c>
      <c r="U107" s="65">
        <f>$M107*(1+'FSS 805 Assumptions'!$D95)</f>
        <v>11340</v>
      </c>
      <c r="V107" s="65">
        <f>$M107*(1+'FSS 805 Assumptions'!$D95)</f>
        <v>11340</v>
      </c>
      <c r="W107" s="65">
        <f>$M107*(1+'FSS 805 Assumptions'!$D95)</f>
        <v>11340</v>
      </c>
      <c r="X107" s="65">
        <f>$M107*(1+'FSS 805 Assumptions'!$D95)</f>
        <v>11340</v>
      </c>
      <c r="Y107" s="65">
        <f>$M107*(1+'FSS 805 Assumptions'!$D95)</f>
        <v>11340</v>
      </c>
      <c r="Z107" s="65">
        <f>$M107*(1+'FSS 805 Assumptions'!$D95)</f>
        <v>11340</v>
      </c>
      <c r="AA107" s="59">
        <f>SUM(O107:Z107)</f>
        <v>136080</v>
      </c>
      <c r="AB107" s="65">
        <f>$Z107*(1+'FSS 805 Assumptions'!$E95)</f>
        <v>11907</v>
      </c>
      <c r="AC107" s="65">
        <f>$Z107*(1+'FSS 805 Assumptions'!$E95)</f>
        <v>11907</v>
      </c>
      <c r="AD107" s="65">
        <f>$Z107*(1+'FSS 805 Assumptions'!$E95)</f>
        <v>11907</v>
      </c>
      <c r="AE107" s="65">
        <f>$Z107*(1+'FSS 805 Assumptions'!$E95)</f>
        <v>11907</v>
      </c>
      <c r="AF107" s="65">
        <f>$Z107*(1+'FSS 805 Assumptions'!$E95)</f>
        <v>11907</v>
      </c>
      <c r="AG107" s="65">
        <f>$Z107*(1+'FSS 805 Assumptions'!$E95)</f>
        <v>11907</v>
      </c>
      <c r="AH107" s="65">
        <f>$Z107*(1+'FSS 805 Assumptions'!$E95)</f>
        <v>11907</v>
      </c>
      <c r="AI107" s="65">
        <f>$Z107*(1+'FSS 805 Assumptions'!$E95)</f>
        <v>11907</v>
      </c>
      <c r="AJ107" s="65">
        <f>$Z107*(1+'FSS 805 Assumptions'!$E95)</f>
        <v>11907</v>
      </c>
      <c r="AK107" s="65">
        <f>$Z107*(1+'FSS 805 Assumptions'!$E95)</f>
        <v>11907</v>
      </c>
      <c r="AL107" s="65">
        <f>$Z107*(1+'FSS 805 Assumptions'!$E95)</f>
        <v>11907</v>
      </c>
      <c r="AM107" s="65">
        <f>$Z107*(1+'FSS 805 Assumptions'!$E95)</f>
        <v>11907</v>
      </c>
      <c r="AN107" s="172">
        <f>AA107*(1+'FSS 805 Assumptions'!E95)</f>
        <v>142884</v>
      </c>
      <c r="AO107" s="65">
        <f>$AM107*(1+'FSS 805 Assumptions'!$F95)</f>
        <v>12502.35</v>
      </c>
      <c r="AP107" s="65">
        <f>$AM107*(1+'FSS 805 Assumptions'!$F95)</f>
        <v>12502.35</v>
      </c>
      <c r="AQ107" s="65">
        <f>$AM107*(1+'FSS 805 Assumptions'!$F95)</f>
        <v>12502.35</v>
      </c>
      <c r="AR107" s="65">
        <f>$AM107*(1+'FSS 805 Assumptions'!$F95)</f>
        <v>12502.35</v>
      </c>
      <c r="AS107" s="65">
        <f>$AM107*(1+'FSS 805 Assumptions'!$F95)</f>
        <v>12502.35</v>
      </c>
      <c r="AT107" s="65">
        <f>$AM107*(1+'FSS 805 Assumptions'!$F95)</f>
        <v>12502.35</v>
      </c>
      <c r="AU107" s="65">
        <f>$AM107*(1+'FSS 805 Assumptions'!$F95)</f>
        <v>12502.35</v>
      </c>
      <c r="AV107" s="65">
        <f>$AM107*(1+'FSS 805 Assumptions'!$F95)</f>
        <v>12502.35</v>
      </c>
      <c r="AW107" s="65">
        <f>$AM107*(1+'FSS 805 Assumptions'!$F95)</f>
        <v>12502.35</v>
      </c>
      <c r="AX107" s="65">
        <f>$AM107*(1+'FSS 805 Assumptions'!$F95)</f>
        <v>12502.35</v>
      </c>
      <c r="AY107" s="65">
        <f>$AM107*(1+'FSS 805 Assumptions'!$F95)</f>
        <v>12502.35</v>
      </c>
      <c r="AZ107" s="65">
        <f>$AM107*(1+'FSS 805 Assumptions'!$F95)</f>
        <v>12502.35</v>
      </c>
      <c r="BA107" s="59">
        <f t="shared" si="53"/>
        <v>150028.20000000004</v>
      </c>
      <c r="BB107" s="172">
        <f>BA107*(1+'FSS 805 Assumptions'!G95)</f>
        <v>157529.61000000004</v>
      </c>
    </row>
    <row r="108" spans="1:54" x14ac:dyDescent="0.2">
      <c r="A108" s="76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158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132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172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172"/>
      <c r="BB108" s="172"/>
    </row>
    <row r="109" spans="1:54" s="80" customFormat="1" collapsed="1" x14ac:dyDescent="0.2">
      <c r="A109" s="90" t="s">
        <v>103</v>
      </c>
      <c r="B109" s="85">
        <f t="shared" ref="B109:BB109" si="54">SUM(B104:B107)</f>
        <v>20800</v>
      </c>
      <c r="C109" s="85">
        <f t="shared" si="54"/>
        <v>20800</v>
      </c>
      <c r="D109" s="85">
        <f t="shared" si="54"/>
        <v>20800</v>
      </c>
      <c r="E109" s="85">
        <f t="shared" si="54"/>
        <v>20800</v>
      </c>
      <c r="F109" s="85">
        <f t="shared" si="54"/>
        <v>20800</v>
      </c>
      <c r="G109" s="85">
        <f t="shared" si="54"/>
        <v>20800</v>
      </c>
      <c r="H109" s="85">
        <f t="shared" si="54"/>
        <v>20800</v>
      </c>
      <c r="I109" s="85">
        <f t="shared" si="54"/>
        <v>20800</v>
      </c>
      <c r="J109" s="85">
        <f t="shared" si="54"/>
        <v>20800</v>
      </c>
      <c r="K109" s="85">
        <f t="shared" si="54"/>
        <v>20800</v>
      </c>
      <c r="L109" s="85">
        <f t="shared" si="54"/>
        <v>20800</v>
      </c>
      <c r="M109" s="85">
        <f t="shared" si="54"/>
        <v>20800</v>
      </c>
      <c r="N109" s="85">
        <f t="shared" si="54"/>
        <v>249600</v>
      </c>
      <c r="O109" s="85">
        <f t="shared" si="54"/>
        <v>21840</v>
      </c>
      <c r="P109" s="85">
        <f t="shared" si="54"/>
        <v>21840</v>
      </c>
      <c r="Q109" s="85">
        <f t="shared" si="54"/>
        <v>21840</v>
      </c>
      <c r="R109" s="85">
        <f t="shared" si="54"/>
        <v>21840</v>
      </c>
      <c r="S109" s="85">
        <f t="shared" si="54"/>
        <v>21840</v>
      </c>
      <c r="T109" s="85">
        <f t="shared" si="54"/>
        <v>21840</v>
      </c>
      <c r="U109" s="85">
        <f t="shared" si="54"/>
        <v>21840</v>
      </c>
      <c r="V109" s="85">
        <f t="shared" si="54"/>
        <v>21840</v>
      </c>
      <c r="W109" s="85">
        <f t="shared" si="54"/>
        <v>21840</v>
      </c>
      <c r="X109" s="85">
        <f t="shared" si="54"/>
        <v>21840</v>
      </c>
      <c r="Y109" s="85">
        <f t="shared" si="54"/>
        <v>21840</v>
      </c>
      <c r="Z109" s="85">
        <f t="shared" si="54"/>
        <v>21840</v>
      </c>
      <c r="AA109" s="85">
        <f t="shared" si="54"/>
        <v>262080</v>
      </c>
      <c r="AB109" s="85">
        <f t="shared" si="54"/>
        <v>22932</v>
      </c>
      <c r="AC109" s="85">
        <f t="shared" ref="AC109:AM109" si="55">SUM(AC104:AC107)</f>
        <v>22932</v>
      </c>
      <c r="AD109" s="85">
        <f t="shared" si="55"/>
        <v>22932</v>
      </c>
      <c r="AE109" s="85">
        <f t="shared" si="55"/>
        <v>22932</v>
      </c>
      <c r="AF109" s="85">
        <f t="shared" si="55"/>
        <v>22932</v>
      </c>
      <c r="AG109" s="85">
        <f t="shared" si="55"/>
        <v>22932</v>
      </c>
      <c r="AH109" s="85">
        <f t="shared" si="55"/>
        <v>22932</v>
      </c>
      <c r="AI109" s="85">
        <f t="shared" si="55"/>
        <v>22932</v>
      </c>
      <c r="AJ109" s="85">
        <f t="shared" si="55"/>
        <v>22932</v>
      </c>
      <c r="AK109" s="85">
        <f t="shared" si="55"/>
        <v>22932</v>
      </c>
      <c r="AL109" s="85">
        <f t="shared" si="55"/>
        <v>22932</v>
      </c>
      <c r="AM109" s="85">
        <f t="shared" si="55"/>
        <v>22932</v>
      </c>
      <c r="AN109" s="85">
        <f t="shared" si="54"/>
        <v>275184</v>
      </c>
      <c r="AO109" s="85">
        <f t="shared" si="54"/>
        <v>24078.6</v>
      </c>
      <c r="AP109" s="85">
        <f t="shared" ref="AP109:AZ109" si="56">SUM(AP104:AP107)</f>
        <v>24078.6</v>
      </c>
      <c r="AQ109" s="85">
        <f t="shared" si="56"/>
        <v>24078.6</v>
      </c>
      <c r="AR109" s="85">
        <f t="shared" si="56"/>
        <v>24078.6</v>
      </c>
      <c r="AS109" s="85">
        <f t="shared" si="56"/>
        <v>24078.6</v>
      </c>
      <c r="AT109" s="85">
        <f t="shared" si="56"/>
        <v>24078.6</v>
      </c>
      <c r="AU109" s="85">
        <f t="shared" si="56"/>
        <v>24078.6</v>
      </c>
      <c r="AV109" s="85">
        <f t="shared" si="56"/>
        <v>24078.6</v>
      </c>
      <c r="AW109" s="85">
        <f t="shared" si="56"/>
        <v>24078.6</v>
      </c>
      <c r="AX109" s="85">
        <f t="shared" si="56"/>
        <v>24078.6</v>
      </c>
      <c r="AY109" s="85">
        <f t="shared" si="56"/>
        <v>24078.6</v>
      </c>
      <c r="AZ109" s="85">
        <f t="shared" si="56"/>
        <v>24078.6</v>
      </c>
      <c r="BA109" s="85">
        <f t="shared" si="54"/>
        <v>288943.20000000007</v>
      </c>
      <c r="BB109" s="85">
        <f t="shared" si="54"/>
        <v>303390.36000000004</v>
      </c>
    </row>
    <row r="110" spans="1:54" s="80" customFormat="1" x14ac:dyDescent="0.2">
      <c r="A110" s="90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96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  <c r="BA110" s="163"/>
      <c r="BB110" s="163"/>
    </row>
    <row r="111" spans="1:54" s="80" customFormat="1" x14ac:dyDescent="0.2">
      <c r="A111" s="74" t="s">
        <v>403</v>
      </c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63"/>
      <c r="O111" s="193"/>
      <c r="P111" s="193"/>
      <c r="Q111" s="19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3"/>
      <c r="AZ111" s="163"/>
      <c r="BA111" s="163"/>
      <c r="BB111" s="163"/>
    </row>
    <row r="112" spans="1:54" x14ac:dyDescent="0.2">
      <c r="A112" s="76" t="s">
        <v>419</v>
      </c>
      <c r="B112" s="65">
        <v>0</v>
      </c>
      <c r="C112" s="65">
        <v>0</v>
      </c>
      <c r="D112" s="65">
        <v>0</v>
      </c>
      <c r="E112" s="65">
        <v>0</v>
      </c>
      <c r="F112" s="65">
        <f>F24*'FSS 805 Assumptions'!$B$46</f>
        <v>1451.9750000000001</v>
      </c>
      <c r="G112" s="65">
        <f>G24*'FSS 805 Assumptions'!$B$46</f>
        <v>2228.9500000000003</v>
      </c>
      <c r="H112" s="65">
        <f>H24*'FSS 805 Assumptions'!$B$46</f>
        <v>3029.875</v>
      </c>
      <c r="I112" s="65">
        <f>I24*'FSS 805 Assumptions'!$B$46</f>
        <v>8881.875</v>
      </c>
      <c r="J112" s="65">
        <f>J24*'FSS 805 Assumptions'!$B$46</f>
        <v>14929.087500000001</v>
      </c>
      <c r="K112" s="65">
        <f>K24*'FSS 805 Assumptions'!$B$46</f>
        <v>15435.337500000001</v>
      </c>
      <c r="L112" s="65">
        <f>L24*'FSS 805 Assumptions'!$B$46</f>
        <v>15435.337500000001</v>
      </c>
      <c r="M112" s="65">
        <f>M24*'FSS 805 Assumptions'!$B$46</f>
        <v>16096.725</v>
      </c>
      <c r="N112" s="158">
        <f t="shared" ref="N112:N114" si="57">SUM(B112:M112)</f>
        <v>77489.162500000006</v>
      </c>
      <c r="O112" s="65">
        <f>O24*'FSS 805 Assumptions'!$B$46</f>
        <v>16096.725</v>
      </c>
      <c r="P112" s="65">
        <f>P24*'FSS 805 Assumptions'!$B$46</f>
        <v>16764.975000000002</v>
      </c>
      <c r="Q112" s="65">
        <f>Q24*'FSS 805 Assumptions'!$B$46</f>
        <v>17068.725000000002</v>
      </c>
      <c r="R112" s="65">
        <f>R24*'FSS 805 Assumptions'!$B$46</f>
        <v>17372.475000000002</v>
      </c>
      <c r="S112" s="65">
        <f>S24*'FSS 805 Assumptions'!$B$46</f>
        <v>17676.225000000002</v>
      </c>
      <c r="T112" s="65">
        <f>T24*'FSS 805 Assumptions'!$B$46</f>
        <v>17979.975000000002</v>
      </c>
      <c r="U112" s="65">
        <f>U24*'FSS 805 Assumptions'!$B$46</f>
        <v>18283.725000000002</v>
      </c>
      <c r="V112" s="65">
        <f>V24*'FSS 805 Assumptions'!$B$46</f>
        <v>18587.475000000002</v>
      </c>
      <c r="W112" s="65">
        <f>W24*'FSS 805 Assumptions'!$B$46</f>
        <v>18891.225000000002</v>
      </c>
      <c r="X112" s="65">
        <f>X24*'FSS 805 Assumptions'!$B$46</f>
        <v>19194.975000000002</v>
      </c>
      <c r="Y112" s="65">
        <f>Y24*'FSS 805 Assumptions'!$B$46</f>
        <v>19194.975000000002</v>
      </c>
      <c r="Z112" s="65">
        <f>Z24*'FSS 805 Assumptions'!$B$46</f>
        <v>19194.975000000002</v>
      </c>
      <c r="AA112" s="59">
        <f>SUM(O112:Z112)</f>
        <v>216306.45000000004</v>
      </c>
      <c r="AB112" s="65">
        <f>AB24*'FSS 805 Assumptions'!$B$46</f>
        <v>19770.824250000001</v>
      </c>
      <c r="AC112" s="65">
        <f>AC24*'FSS 805 Assumptions'!$B$46</f>
        <v>19770.824250000001</v>
      </c>
      <c r="AD112" s="65">
        <f>AD24*'FSS 805 Assumptions'!$B$46</f>
        <v>19770.824250000001</v>
      </c>
      <c r="AE112" s="65">
        <f>AE24*'FSS 805 Assumptions'!$B$46</f>
        <v>19770.824250000001</v>
      </c>
      <c r="AF112" s="65">
        <f>AF24*'FSS 805 Assumptions'!$B$46</f>
        <v>19770.824250000001</v>
      </c>
      <c r="AG112" s="65">
        <f>AG24*'FSS 805 Assumptions'!$B$46</f>
        <v>19770.824250000001</v>
      </c>
      <c r="AH112" s="65">
        <f>AH24*'FSS 805 Assumptions'!$B$46</f>
        <v>19770.824250000001</v>
      </c>
      <c r="AI112" s="65">
        <f>AI24*'FSS 805 Assumptions'!$B$46</f>
        <v>19770.824250000001</v>
      </c>
      <c r="AJ112" s="65">
        <f>AJ24*'FSS 805 Assumptions'!$B$46</f>
        <v>19770.824250000001</v>
      </c>
      <c r="AK112" s="65">
        <f>AK24*'FSS 805 Assumptions'!$B$46</f>
        <v>19770.824250000001</v>
      </c>
      <c r="AL112" s="65">
        <f>AL24*'FSS 805 Assumptions'!$B$46</f>
        <v>19770.824250000001</v>
      </c>
      <c r="AM112" s="65">
        <f>AM24*'FSS 805 Assumptions'!$B$46</f>
        <v>19770.824250000001</v>
      </c>
      <c r="AN112" s="172">
        <f>AA112*(1+'FSS 805 Assumptions'!E99)</f>
        <v>227121.77250000005</v>
      </c>
      <c r="AO112" s="65">
        <f>AO24*'FSS 805 Assumptions'!$B$46</f>
        <v>20363.948977500004</v>
      </c>
      <c r="AP112" s="65">
        <f>AP24*'FSS 805 Assumptions'!$B$46</f>
        <v>20363.948977500004</v>
      </c>
      <c r="AQ112" s="65">
        <f>AQ24*'FSS 805 Assumptions'!$B$46</f>
        <v>20363.948977500004</v>
      </c>
      <c r="AR112" s="65">
        <f>AR24*'FSS 805 Assumptions'!$B$46</f>
        <v>20363.948977500004</v>
      </c>
      <c r="AS112" s="65">
        <f>AS24*'FSS 805 Assumptions'!$B$46</f>
        <v>20363.948977500004</v>
      </c>
      <c r="AT112" s="65">
        <f>AT24*'FSS 805 Assumptions'!$B$46</f>
        <v>20363.948977500004</v>
      </c>
      <c r="AU112" s="65">
        <f>AU24*'FSS 805 Assumptions'!$B$46</f>
        <v>20363.948977500004</v>
      </c>
      <c r="AV112" s="65">
        <f>AV24*'FSS 805 Assumptions'!$B$46</f>
        <v>20363.948977500004</v>
      </c>
      <c r="AW112" s="65">
        <f>AW24*'FSS 805 Assumptions'!$B$46</f>
        <v>20363.948977500004</v>
      </c>
      <c r="AX112" s="65">
        <f>AX24*'FSS 805 Assumptions'!$B$46</f>
        <v>20363.948977500004</v>
      </c>
      <c r="AY112" s="65">
        <f>AY24*'FSS 805 Assumptions'!$B$46</f>
        <v>20363.948977500004</v>
      </c>
      <c r="AZ112" s="65">
        <f>AZ24*'FSS 805 Assumptions'!$B$46</f>
        <v>20363.948977500004</v>
      </c>
      <c r="BA112" s="59">
        <f t="shared" ref="BA112:BA114" si="58">SUM(AO112:AZ112)</f>
        <v>244367.38772999999</v>
      </c>
      <c r="BB112" s="172">
        <f>BB24*'FSS 805 Assumptions'!$B$46</f>
        <v>251698.40936190003</v>
      </c>
    </row>
    <row r="113" spans="1:54" x14ac:dyDescent="0.2">
      <c r="A113" s="76" t="s">
        <v>404</v>
      </c>
      <c r="B113" s="65">
        <f>'FSS 805 Assumptions'!$B98</f>
        <v>2000</v>
      </c>
      <c r="C113" s="65">
        <f>'FSS 805 Assumptions'!$B98</f>
        <v>2000</v>
      </c>
      <c r="D113" s="65">
        <f>'FSS 805 Assumptions'!$B98</f>
        <v>2000</v>
      </c>
      <c r="E113" s="65">
        <f>'FSS 805 Assumptions'!$B98</f>
        <v>2000</v>
      </c>
      <c r="F113" s="65">
        <f>'FSS 805 Assumptions'!$B98</f>
        <v>2000</v>
      </c>
      <c r="G113" s="65">
        <f>'FSS 805 Assumptions'!$B98</f>
        <v>2000</v>
      </c>
      <c r="H113" s="65">
        <f>'FSS 805 Assumptions'!$B98</f>
        <v>2000</v>
      </c>
      <c r="I113" s="65">
        <f>'FSS 805 Assumptions'!$B98</f>
        <v>2000</v>
      </c>
      <c r="J113" s="65">
        <f>'FSS 805 Assumptions'!$B98</f>
        <v>2000</v>
      </c>
      <c r="K113" s="65">
        <f>'FSS 805 Assumptions'!$B98</f>
        <v>2000</v>
      </c>
      <c r="L113" s="65">
        <f>'FSS 805 Assumptions'!$B98</f>
        <v>2000</v>
      </c>
      <c r="M113" s="65">
        <f>'FSS 805 Assumptions'!$B98</f>
        <v>2000</v>
      </c>
      <c r="N113" s="158">
        <f t="shared" si="57"/>
        <v>24000</v>
      </c>
      <c r="O113" s="65">
        <f>$M113*(1+'FSS 805 Assumptions'!$D98)</f>
        <v>2100</v>
      </c>
      <c r="P113" s="65">
        <f>$M113*(1+'FSS 805 Assumptions'!$D98)</f>
        <v>2100</v>
      </c>
      <c r="Q113" s="65">
        <f>$M113*(1+'FSS 805 Assumptions'!$D98)</f>
        <v>2100</v>
      </c>
      <c r="R113" s="65">
        <f>$M113*(1+'FSS 805 Assumptions'!$D98)</f>
        <v>2100</v>
      </c>
      <c r="S113" s="65">
        <f>$M113*(1+'FSS 805 Assumptions'!$D98)</f>
        <v>2100</v>
      </c>
      <c r="T113" s="65">
        <f>$M113*(1+'FSS 805 Assumptions'!$D98)</f>
        <v>2100</v>
      </c>
      <c r="U113" s="65">
        <f>$M113*(1+'FSS 805 Assumptions'!$D98)</f>
        <v>2100</v>
      </c>
      <c r="V113" s="65">
        <f>$M113*(1+'FSS 805 Assumptions'!$D98)</f>
        <v>2100</v>
      </c>
      <c r="W113" s="65">
        <f>$M113*(1+'FSS 805 Assumptions'!$D98)</f>
        <v>2100</v>
      </c>
      <c r="X113" s="65">
        <f>$M113*(1+'FSS 805 Assumptions'!$D98)</f>
        <v>2100</v>
      </c>
      <c r="Y113" s="65">
        <f>$M113*(1+'FSS 805 Assumptions'!$D98)</f>
        <v>2100</v>
      </c>
      <c r="Z113" s="65">
        <f>$M113*(1+'FSS 805 Assumptions'!$D98)</f>
        <v>2100</v>
      </c>
      <c r="AA113" s="59">
        <f>SUM(O113:Z113)</f>
        <v>25200</v>
      </c>
      <c r="AB113" s="65">
        <f>$Z113*(1+'FSS 805 Assumptions'!$E98)</f>
        <v>2205</v>
      </c>
      <c r="AC113" s="65">
        <f>$Z113*(1+'FSS 805 Assumptions'!$E98)</f>
        <v>2205</v>
      </c>
      <c r="AD113" s="65">
        <f>$Z113*(1+'FSS 805 Assumptions'!$E98)</f>
        <v>2205</v>
      </c>
      <c r="AE113" s="65">
        <f>$Z113*(1+'FSS 805 Assumptions'!$E98)</f>
        <v>2205</v>
      </c>
      <c r="AF113" s="65">
        <f>$Z113*(1+'FSS 805 Assumptions'!$E98)</f>
        <v>2205</v>
      </c>
      <c r="AG113" s="65">
        <f>$Z113*(1+'FSS 805 Assumptions'!$E98)</f>
        <v>2205</v>
      </c>
      <c r="AH113" s="65">
        <f>$Z113*(1+'FSS 805 Assumptions'!$E98)</f>
        <v>2205</v>
      </c>
      <c r="AI113" s="65">
        <f>$Z113*(1+'FSS 805 Assumptions'!$E98)</f>
        <v>2205</v>
      </c>
      <c r="AJ113" s="65">
        <f>$Z113*(1+'FSS 805 Assumptions'!$E98)</f>
        <v>2205</v>
      </c>
      <c r="AK113" s="65">
        <f>$Z113*(1+'FSS 805 Assumptions'!$E98)</f>
        <v>2205</v>
      </c>
      <c r="AL113" s="65">
        <f>$Z113*(1+'FSS 805 Assumptions'!$E98)</f>
        <v>2205</v>
      </c>
      <c r="AM113" s="65">
        <f>$Z113*(1+'FSS 805 Assumptions'!$E98)</f>
        <v>2205</v>
      </c>
      <c r="AN113" s="172">
        <f>AA113*(1+'FSS 805 Assumptions'!E100)</f>
        <v>25200</v>
      </c>
      <c r="AO113" s="65">
        <f>$AM113*(1+'FSS 805 Assumptions'!$F98)</f>
        <v>2315.25</v>
      </c>
      <c r="AP113" s="65">
        <f>$AM113*(1+'FSS 805 Assumptions'!$F98)</f>
        <v>2315.25</v>
      </c>
      <c r="AQ113" s="65">
        <f>$AM113*(1+'FSS 805 Assumptions'!$F98)</f>
        <v>2315.25</v>
      </c>
      <c r="AR113" s="65">
        <f>$AM113*(1+'FSS 805 Assumptions'!$F98)</f>
        <v>2315.25</v>
      </c>
      <c r="AS113" s="65">
        <f>$AM113*(1+'FSS 805 Assumptions'!$F98)</f>
        <v>2315.25</v>
      </c>
      <c r="AT113" s="65">
        <f>$AM113*(1+'FSS 805 Assumptions'!$F98)</f>
        <v>2315.25</v>
      </c>
      <c r="AU113" s="65">
        <f>$AM113*(1+'FSS 805 Assumptions'!$F98)</f>
        <v>2315.25</v>
      </c>
      <c r="AV113" s="65">
        <f>$AM113*(1+'FSS 805 Assumptions'!$F98)</f>
        <v>2315.25</v>
      </c>
      <c r="AW113" s="65">
        <f>$AM113*(1+'FSS 805 Assumptions'!$F98)</f>
        <v>2315.25</v>
      </c>
      <c r="AX113" s="65">
        <f>$AM113*(1+'FSS 805 Assumptions'!$F98)</f>
        <v>2315.25</v>
      </c>
      <c r="AY113" s="65">
        <f>$AM113*(1+'FSS 805 Assumptions'!$F98)</f>
        <v>2315.25</v>
      </c>
      <c r="AZ113" s="65">
        <f>$AM113*(1+'FSS 805 Assumptions'!$F98)</f>
        <v>2315.25</v>
      </c>
      <c r="BA113" s="59">
        <f t="shared" si="58"/>
        <v>27783</v>
      </c>
      <c r="BB113" s="172">
        <f>BA113*(1+'FSS 805 Assumptions'!G98)</f>
        <v>29172.15</v>
      </c>
    </row>
    <row r="114" spans="1:54" x14ac:dyDescent="0.2">
      <c r="A114" s="76" t="s">
        <v>405</v>
      </c>
      <c r="B114" s="65">
        <f>'FSS 805 Assumptions'!$B99</f>
        <v>5000</v>
      </c>
      <c r="C114" s="65">
        <f>'FSS 805 Assumptions'!$B99</f>
        <v>5000</v>
      </c>
      <c r="D114" s="65">
        <f>'FSS 805 Assumptions'!$B99</f>
        <v>5000</v>
      </c>
      <c r="E114" s="65">
        <f>'FSS 805 Assumptions'!$B99</f>
        <v>5000</v>
      </c>
      <c r="F114" s="65">
        <f>'FSS 805 Assumptions'!$B99</f>
        <v>5000</v>
      </c>
      <c r="G114" s="65">
        <f>'FSS 805 Assumptions'!$B99</f>
        <v>5000</v>
      </c>
      <c r="H114" s="65">
        <f>'FSS 805 Assumptions'!$B99</f>
        <v>5000</v>
      </c>
      <c r="I114" s="65">
        <f>'FSS 805 Assumptions'!$B99</f>
        <v>5000</v>
      </c>
      <c r="J114" s="65">
        <f>'FSS 805 Assumptions'!$B99</f>
        <v>5000</v>
      </c>
      <c r="K114" s="65">
        <f>'FSS 805 Assumptions'!$B99</f>
        <v>5000</v>
      </c>
      <c r="L114" s="65">
        <f>'FSS 805 Assumptions'!$B99</f>
        <v>5000</v>
      </c>
      <c r="M114" s="65">
        <f>'FSS 805 Assumptions'!$B99</f>
        <v>5000</v>
      </c>
      <c r="N114" s="158">
        <f t="shared" si="57"/>
        <v>60000</v>
      </c>
      <c r="O114" s="65">
        <f>$M114*(1+'FSS 805 Assumptions'!$D99)</f>
        <v>5250</v>
      </c>
      <c r="P114" s="65">
        <f>$M114*(1+'FSS 805 Assumptions'!$D99)</f>
        <v>5250</v>
      </c>
      <c r="Q114" s="65">
        <f>$M114*(1+'FSS 805 Assumptions'!$D99)</f>
        <v>5250</v>
      </c>
      <c r="R114" s="65">
        <f>$M114*(1+'FSS 805 Assumptions'!$D99)</f>
        <v>5250</v>
      </c>
      <c r="S114" s="65">
        <f>$M114*(1+'FSS 805 Assumptions'!$D99)</f>
        <v>5250</v>
      </c>
      <c r="T114" s="65">
        <f>$M114*(1+'FSS 805 Assumptions'!$D99)</f>
        <v>5250</v>
      </c>
      <c r="U114" s="65">
        <f>$M114*(1+'FSS 805 Assumptions'!$D99)</f>
        <v>5250</v>
      </c>
      <c r="V114" s="65">
        <f>$M114*(1+'FSS 805 Assumptions'!$D99)</f>
        <v>5250</v>
      </c>
      <c r="W114" s="65">
        <f>$M114*(1+'FSS 805 Assumptions'!$D99)</f>
        <v>5250</v>
      </c>
      <c r="X114" s="65">
        <f>$M114*(1+'FSS 805 Assumptions'!$D99)</f>
        <v>5250</v>
      </c>
      <c r="Y114" s="65">
        <f>$M114*(1+'FSS 805 Assumptions'!$D99)</f>
        <v>5250</v>
      </c>
      <c r="Z114" s="65">
        <f>$M114*(1+'FSS 805 Assumptions'!$D99)</f>
        <v>5250</v>
      </c>
      <c r="AA114" s="59">
        <f>SUM(O114:Z114)</f>
        <v>63000</v>
      </c>
      <c r="AB114" s="65">
        <f>$Z114*(1+'FSS 805 Assumptions'!$E99)</f>
        <v>5512.5</v>
      </c>
      <c r="AC114" s="65">
        <f>$Z114*(1+'FSS 805 Assumptions'!$E99)</f>
        <v>5512.5</v>
      </c>
      <c r="AD114" s="65">
        <f>$Z114*(1+'FSS 805 Assumptions'!$E99)</f>
        <v>5512.5</v>
      </c>
      <c r="AE114" s="65">
        <f>$Z114*(1+'FSS 805 Assumptions'!$E99)</f>
        <v>5512.5</v>
      </c>
      <c r="AF114" s="65">
        <f>$Z114*(1+'FSS 805 Assumptions'!$E99)</f>
        <v>5512.5</v>
      </c>
      <c r="AG114" s="65">
        <f>$Z114*(1+'FSS 805 Assumptions'!$E99)</f>
        <v>5512.5</v>
      </c>
      <c r="AH114" s="65">
        <f>$Z114*(1+'FSS 805 Assumptions'!$E99)</f>
        <v>5512.5</v>
      </c>
      <c r="AI114" s="65">
        <f>$Z114*(1+'FSS 805 Assumptions'!$E99)</f>
        <v>5512.5</v>
      </c>
      <c r="AJ114" s="65">
        <f>$Z114*(1+'FSS 805 Assumptions'!$E99)</f>
        <v>5512.5</v>
      </c>
      <c r="AK114" s="65">
        <f>$Z114*(1+'FSS 805 Assumptions'!$E99)</f>
        <v>5512.5</v>
      </c>
      <c r="AL114" s="65">
        <f>$Z114*(1+'FSS 805 Assumptions'!$E99)</f>
        <v>5512.5</v>
      </c>
      <c r="AM114" s="65">
        <f>$Z114*(1+'FSS 805 Assumptions'!$E99)</f>
        <v>5512.5</v>
      </c>
      <c r="AN114" s="172">
        <f>AA114*(1+'FSS 805 Assumptions'!E101)</f>
        <v>63000</v>
      </c>
      <c r="AO114" s="65">
        <f>$AM114*(1+'FSS 805 Assumptions'!$F99)</f>
        <v>5788.125</v>
      </c>
      <c r="AP114" s="65">
        <f>$AM114*(1+'FSS 805 Assumptions'!$F99)</f>
        <v>5788.125</v>
      </c>
      <c r="AQ114" s="65">
        <f>$AM114*(1+'FSS 805 Assumptions'!$F99)</f>
        <v>5788.125</v>
      </c>
      <c r="AR114" s="65">
        <f>$AM114*(1+'FSS 805 Assumptions'!$F99)</f>
        <v>5788.125</v>
      </c>
      <c r="AS114" s="65">
        <f>$AM114*(1+'FSS 805 Assumptions'!$F99)</f>
        <v>5788.125</v>
      </c>
      <c r="AT114" s="65">
        <f>$AM114*(1+'FSS 805 Assumptions'!$F99)</f>
        <v>5788.125</v>
      </c>
      <c r="AU114" s="65">
        <f>$AM114*(1+'FSS 805 Assumptions'!$F99)</f>
        <v>5788.125</v>
      </c>
      <c r="AV114" s="65">
        <f>$AM114*(1+'FSS 805 Assumptions'!$F99)</f>
        <v>5788.125</v>
      </c>
      <c r="AW114" s="65">
        <f>$AM114*(1+'FSS 805 Assumptions'!$F99)</f>
        <v>5788.125</v>
      </c>
      <c r="AX114" s="65">
        <f>$AM114*(1+'FSS 805 Assumptions'!$F99)</f>
        <v>5788.125</v>
      </c>
      <c r="AY114" s="65">
        <f>$AM114*(1+'FSS 805 Assumptions'!$F99)</f>
        <v>5788.125</v>
      </c>
      <c r="AZ114" s="65">
        <f>$AM114*(1+'FSS 805 Assumptions'!$F99)</f>
        <v>5788.125</v>
      </c>
      <c r="BA114" s="59">
        <f t="shared" si="58"/>
        <v>69457.5</v>
      </c>
      <c r="BB114" s="172">
        <f>BA114*(1+'FSS 805 Assumptions'!G99)</f>
        <v>72930.375</v>
      </c>
    </row>
    <row r="115" spans="1:54" x14ac:dyDescent="0.2">
      <c r="A115" s="76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158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132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172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172"/>
      <c r="BB115" s="172"/>
    </row>
    <row r="116" spans="1:54" s="80" customFormat="1" collapsed="1" x14ac:dyDescent="0.2">
      <c r="A116" s="90" t="s">
        <v>408</v>
      </c>
      <c r="B116" s="85">
        <f>SUM(B111:B115)</f>
        <v>7000</v>
      </c>
      <c r="C116" s="85">
        <f t="shared" ref="C116:BB116" si="59">SUM(C111:C115)</f>
        <v>7000</v>
      </c>
      <c r="D116" s="85">
        <f t="shared" si="59"/>
        <v>7000</v>
      </c>
      <c r="E116" s="85">
        <f t="shared" si="59"/>
        <v>7000</v>
      </c>
      <c r="F116" s="85">
        <f t="shared" si="59"/>
        <v>8451.9750000000004</v>
      </c>
      <c r="G116" s="85">
        <f t="shared" si="59"/>
        <v>9228.9500000000007</v>
      </c>
      <c r="H116" s="85">
        <f t="shared" si="59"/>
        <v>10029.875</v>
      </c>
      <c r="I116" s="85">
        <f t="shared" si="59"/>
        <v>15881.875</v>
      </c>
      <c r="J116" s="85">
        <f t="shared" si="59"/>
        <v>21929.087500000001</v>
      </c>
      <c r="K116" s="85">
        <f t="shared" si="59"/>
        <v>22435.337500000001</v>
      </c>
      <c r="L116" s="85">
        <f t="shared" si="59"/>
        <v>22435.337500000001</v>
      </c>
      <c r="M116" s="85">
        <f t="shared" si="59"/>
        <v>23096.724999999999</v>
      </c>
      <c r="N116" s="85">
        <f t="shared" si="59"/>
        <v>161489.16250000001</v>
      </c>
      <c r="O116" s="85">
        <f t="shared" si="59"/>
        <v>23446.724999999999</v>
      </c>
      <c r="P116" s="85">
        <f t="shared" si="59"/>
        <v>24114.975000000002</v>
      </c>
      <c r="Q116" s="85">
        <f t="shared" si="59"/>
        <v>24418.725000000002</v>
      </c>
      <c r="R116" s="85">
        <f t="shared" si="59"/>
        <v>24722.475000000002</v>
      </c>
      <c r="S116" s="85">
        <f t="shared" si="59"/>
        <v>25026.225000000002</v>
      </c>
      <c r="T116" s="85">
        <f t="shared" si="59"/>
        <v>25329.975000000002</v>
      </c>
      <c r="U116" s="85">
        <f t="shared" si="59"/>
        <v>25633.725000000002</v>
      </c>
      <c r="V116" s="85">
        <f t="shared" si="59"/>
        <v>25937.475000000002</v>
      </c>
      <c r="W116" s="85">
        <f t="shared" si="59"/>
        <v>26241.225000000002</v>
      </c>
      <c r="X116" s="85">
        <f t="shared" si="59"/>
        <v>26544.975000000002</v>
      </c>
      <c r="Y116" s="85">
        <f t="shared" si="59"/>
        <v>26544.975000000002</v>
      </c>
      <c r="Z116" s="85">
        <f t="shared" si="59"/>
        <v>26544.975000000002</v>
      </c>
      <c r="AA116" s="85">
        <f t="shared" si="59"/>
        <v>304506.45000000007</v>
      </c>
      <c r="AB116" s="85">
        <f t="shared" si="59"/>
        <v>27488.324250000001</v>
      </c>
      <c r="AC116" s="85">
        <f t="shared" si="59"/>
        <v>27488.324250000001</v>
      </c>
      <c r="AD116" s="85">
        <f t="shared" si="59"/>
        <v>27488.324250000001</v>
      </c>
      <c r="AE116" s="85">
        <f t="shared" si="59"/>
        <v>27488.324250000001</v>
      </c>
      <c r="AF116" s="85">
        <f t="shared" si="59"/>
        <v>27488.324250000001</v>
      </c>
      <c r="AG116" s="85">
        <f t="shared" si="59"/>
        <v>27488.324250000001</v>
      </c>
      <c r="AH116" s="85">
        <f t="shared" si="59"/>
        <v>27488.324250000001</v>
      </c>
      <c r="AI116" s="85">
        <f t="shared" si="59"/>
        <v>27488.324250000001</v>
      </c>
      <c r="AJ116" s="85">
        <f t="shared" si="59"/>
        <v>27488.324250000001</v>
      </c>
      <c r="AK116" s="85">
        <f t="shared" si="59"/>
        <v>27488.324250000001</v>
      </c>
      <c r="AL116" s="85">
        <f t="shared" si="59"/>
        <v>27488.324250000001</v>
      </c>
      <c r="AM116" s="85">
        <f t="shared" si="59"/>
        <v>27488.324250000001</v>
      </c>
      <c r="AN116" s="85">
        <f t="shared" si="59"/>
        <v>315321.77250000008</v>
      </c>
      <c r="AO116" s="85">
        <f t="shared" si="59"/>
        <v>28467.323977500004</v>
      </c>
      <c r="AP116" s="85">
        <f t="shared" si="59"/>
        <v>28467.323977500004</v>
      </c>
      <c r="AQ116" s="85">
        <f t="shared" si="59"/>
        <v>28467.323977500004</v>
      </c>
      <c r="AR116" s="85">
        <f t="shared" si="59"/>
        <v>28467.323977500004</v>
      </c>
      <c r="AS116" s="85">
        <f t="shared" si="59"/>
        <v>28467.323977500004</v>
      </c>
      <c r="AT116" s="85">
        <f t="shared" si="59"/>
        <v>28467.323977500004</v>
      </c>
      <c r="AU116" s="85">
        <f t="shared" si="59"/>
        <v>28467.323977500004</v>
      </c>
      <c r="AV116" s="85">
        <f t="shared" si="59"/>
        <v>28467.323977500004</v>
      </c>
      <c r="AW116" s="85">
        <f t="shared" si="59"/>
        <v>28467.323977500004</v>
      </c>
      <c r="AX116" s="85">
        <f t="shared" si="59"/>
        <v>28467.323977500004</v>
      </c>
      <c r="AY116" s="85">
        <f t="shared" si="59"/>
        <v>28467.323977500004</v>
      </c>
      <c r="AZ116" s="85">
        <f t="shared" si="59"/>
        <v>28467.323977500004</v>
      </c>
      <c r="BA116" s="85">
        <f t="shared" si="59"/>
        <v>341607.88772999996</v>
      </c>
      <c r="BB116" s="85">
        <f t="shared" si="59"/>
        <v>353800.93436190003</v>
      </c>
    </row>
    <row r="117" spans="1:54" s="92" customFormat="1" x14ac:dyDescent="0.2">
      <c r="A117" s="91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163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171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171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171"/>
      <c r="BB117" s="171"/>
    </row>
    <row r="118" spans="1:54" x14ac:dyDescent="0.2">
      <c r="A118" s="74" t="s">
        <v>73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162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170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170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170"/>
      <c r="BB118" s="170"/>
    </row>
    <row r="119" spans="1:54" x14ac:dyDescent="0.2">
      <c r="A119" s="76" t="s">
        <v>411</v>
      </c>
      <c r="B119" s="65">
        <f>'FSS 805 Assumptions'!$B102</f>
        <v>750</v>
      </c>
      <c r="C119" s="65">
        <f>'FSS 805 Assumptions'!$B102</f>
        <v>750</v>
      </c>
      <c r="D119" s="65">
        <f>'FSS 805 Assumptions'!$B102</f>
        <v>750</v>
      </c>
      <c r="E119" s="65">
        <f>'FSS 805 Assumptions'!$B102</f>
        <v>750</v>
      </c>
      <c r="F119" s="65">
        <f>'FSS 805 Assumptions'!$B102</f>
        <v>750</v>
      </c>
      <c r="G119" s="65">
        <f>'FSS 805 Assumptions'!$B102</f>
        <v>750</v>
      </c>
      <c r="H119" s="65">
        <f>'FSS 805 Assumptions'!$B102</f>
        <v>750</v>
      </c>
      <c r="I119" s="65">
        <f>'FSS 805 Assumptions'!$B102</f>
        <v>750</v>
      </c>
      <c r="J119" s="65">
        <f>'FSS 805 Assumptions'!$B102</f>
        <v>750</v>
      </c>
      <c r="K119" s="65">
        <f>'FSS 805 Assumptions'!$B102</f>
        <v>750</v>
      </c>
      <c r="L119" s="65">
        <f>'FSS 805 Assumptions'!$B102</f>
        <v>750</v>
      </c>
      <c r="M119" s="65">
        <f>'FSS 805 Assumptions'!$B102</f>
        <v>750</v>
      </c>
      <c r="N119" s="156">
        <f>SUM(B119:M119)</f>
        <v>9000</v>
      </c>
      <c r="O119" s="65">
        <f>$M119*(1+'FSS 805 Assumptions'!$D102)</f>
        <v>772.5</v>
      </c>
      <c r="P119" s="65">
        <f>$M119*(1+'FSS 805 Assumptions'!$D102)</f>
        <v>772.5</v>
      </c>
      <c r="Q119" s="65">
        <f>$M119*(1+'FSS 805 Assumptions'!$D102)</f>
        <v>772.5</v>
      </c>
      <c r="R119" s="65">
        <f>$M119*(1+'FSS 805 Assumptions'!$D102)</f>
        <v>772.5</v>
      </c>
      <c r="S119" s="65">
        <f>$M119*(1+'FSS 805 Assumptions'!$D102)</f>
        <v>772.5</v>
      </c>
      <c r="T119" s="65">
        <f>$M119*(1+'FSS 805 Assumptions'!$D102)</f>
        <v>772.5</v>
      </c>
      <c r="U119" s="65">
        <f>$M119*(1+'FSS 805 Assumptions'!$D102)</f>
        <v>772.5</v>
      </c>
      <c r="V119" s="65">
        <f>$M119*(1+'FSS 805 Assumptions'!$D102)</f>
        <v>772.5</v>
      </c>
      <c r="W119" s="65">
        <f>$M119*(1+'FSS 805 Assumptions'!$D102)</f>
        <v>772.5</v>
      </c>
      <c r="X119" s="65">
        <f>$M119*(1+'FSS 805 Assumptions'!$D102)</f>
        <v>772.5</v>
      </c>
      <c r="Y119" s="65">
        <f>$M119*(1+'FSS 805 Assumptions'!$D102)</f>
        <v>772.5</v>
      </c>
      <c r="Z119" s="65">
        <f>$M119*(1+'FSS 805 Assumptions'!$D102)</f>
        <v>772.5</v>
      </c>
      <c r="AA119" s="59">
        <f t="shared" ref="AA119:AA126" si="60">SUM(O119:Z119)</f>
        <v>9270</v>
      </c>
      <c r="AB119" s="65">
        <f>$Z119*(1+'FSS 805 Assumptions'!$E102)</f>
        <v>795.67500000000007</v>
      </c>
      <c r="AC119" s="65">
        <f>$Z119*(1+'FSS 805 Assumptions'!$E102)</f>
        <v>795.67500000000007</v>
      </c>
      <c r="AD119" s="65">
        <f>$Z119*(1+'FSS 805 Assumptions'!$E102)</f>
        <v>795.67500000000007</v>
      </c>
      <c r="AE119" s="65">
        <f>$Z119*(1+'FSS 805 Assumptions'!$E102)</f>
        <v>795.67500000000007</v>
      </c>
      <c r="AF119" s="65">
        <f>$Z119*(1+'FSS 805 Assumptions'!$E102)</f>
        <v>795.67500000000007</v>
      </c>
      <c r="AG119" s="65">
        <f>$Z119*(1+'FSS 805 Assumptions'!$E102)</f>
        <v>795.67500000000007</v>
      </c>
      <c r="AH119" s="65">
        <f>$Z119*(1+'FSS 805 Assumptions'!$E102)</f>
        <v>795.67500000000007</v>
      </c>
      <c r="AI119" s="65">
        <f>$Z119*(1+'FSS 805 Assumptions'!$E102)</f>
        <v>795.67500000000007</v>
      </c>
      <c r="AJ119" s="65">
        <f>$Z119*(1+'FSS 805 Assumptions'!$E102)</f>
        <v>795.67500000000007</v>
      </c>
      <c r="AK119" s="65">
        <f>$Z119*(1+'FSS 805 Assumptions'!$E102)</f>
        <v>795.67500000000007</v>
      </c>
      <c r="AL119" s="65">
        <f>$Z119*(1+'FSS 805 Assumptions'!$E102)</f>
        <v>795.67500000000007</v>
      </c>
      <c r="AM119" s="65">
        <f>$Z119*(1+'FSS 805 Assumptions'!$E102)</f>
        <v>795.67500000000007</v>
      </c>
      <c r="AN119" s="172">
        <f>AA119*(1+'FSS 805 Assumptions'!E102)</f>
        <v>9548.1</v>
      </c>
      <c r="AO119" s="65">
        <f>$AM119*(1+'FSS 805 Assumptions'!$F102)</f>
        <v>819.54525000000012</v>
      </c>
      <c r="AP119" s="65">
        <f>$AM119*(1+'FSS 805 Assumptions'!$F102)</f>
        <v>819.54525000000012</v>
      </c>
      <c r="AQ119" s="65">
        <f>$AM119*(1+'FSS 805 Assumptions'!$F102)</f>
        <v>819.54525000000012</v>
      </c>
      <c r="AR119" s="65">
        <f>$AM119*(1+'FSS 805 Assumptions'!$F102)</f>
        <v>819.54525000000012</v>
      </c>
      <c r="AS119" s="65">
        <f>$AM119*(1+'FSS 805 Assumptions'!$F102)</f>
        <v>819.54525000000012</v>
      </c>
      <c r="AT119" s="65">
        <f>$AM119*(1+'FSS 805 Assumptions'!$F102)</f>
        <v>819.54525000000012</v>
      </c>
      <c r="AU119" s="65">
        <f>$AM119*(1+'FSS 805 Assumptions'!$F102)</f>
        <v>819.54525000000012</v>
      </c>
      <c r="AV119" s="65">
        <f>$AM119*(1+'FSS 805 Assumptions'!$F102)</f>
        <v>819.54525000000012</v>
      </c>
      <c r="AW119" s="65">
        <f>$AM119*(1+'FSS 805 Assumptions'!$F102)</f>
        <v>819.54525000000012</v>
      </c>
      <c r="AX119" s="65">
        <f>$AM119*(1+'FSS 805 Assumptions'!$F102)</f>
        <v>819.54525000000012</v>
      </c>
      <c r="AY119" s="65">
        <f>$AM119*(1+'FSS 805 Assumptions'!$F102)</f>
        <v>819.54525000000012</v>
      </c>
      <c r="AZ119" s="65">
        <f>$AM119*(1+'FSS 805 Assumptions'!$F102)</f>
        <v>819.54525000000012</v>
      </c>
      <c r="BA119" s="59">
        <f t="shared" ref="BA119:BA126" si="61">SUM(AO119:AZ119)</f>
        <v>9834.5430000000015</v>
      </c>
      <c r="BB119" s="172">
        <f>BA119*(1+'FSS 805 Assumptions'!G102)</f>
        <v>10129.579290000001</v>
      </c>
    </row>
    <row r="120" spans="1:54" x14ac:dyDescent="0.2">
      <c r="A120" s="77" t="s">
        <v>237</v>
      </c>
      <c r="B120" s="65">
        <f>'FSS 805 Assumptions'!$B103</f>
        <v>17500</v>
      </c>
      <c r="C120" s="65">
        <f>'FSS 805 Assumptions'!$B103</f>
        <v>17500</v>
      </c>
      <c r="D120" s="65">
        <f>'FSS 805 Assumptions'!$B103</f>
        <v>17500</v>
      </c>
      <c r="E120" s="65">
        <f>'FSS 805 Assumptions'!$B103</f>
        <v>17500</v>
      </c>
      <c r="F120" s="65">
        <f>'FSS 805 Assumptions'!$B103</f>
        <v>17500</v>
      </c>
      <c r="G120" s="65">
        <f>'FSS 805 Assumptions'!$B103</f>
        <v>17500</v>
      </c>
      <c r="H120" s="65">
        <f>'FSS 805 Assumptions'!$B103</f>
        <v>17500</v>
      </c>
      <c r="I120" s="65">
        <f>'FSS 805 Assumptions'!$B103</f>
        <v>17500</v>
      </c>
      <c r="J120" s="65">
        <f>'FSS 805 Assumptions'!$B103</f>
        <v>17500</v>
      </c>
      <c r="K120" s="65">
        <f>'FSS 805 Assumptions'!$B103</f>
        <v>17500</v>
      </c>
      <c r="L120" s="65">
        <f>'FSS 805 Assumptions'!$B103</f>
        <v>17500</v>
      </c>
      <c r="M120" s="65">
        <f>'FSS 805 Assumptions'!$B103</f>
        <v>17500</v>
      </c>
      <c r="N120" s="156">
        <f t="shared" ref="N120:N126" si="62">SUM(B120:M120)</f>
        <v>210000</v>
      </c>
      <c r="O120" s="65">
        <f>$M120*(1+'FSS 805 Assumptions'!$D103)</f>
        <v>18025</v>
      </c>
      <c r="P120" s="65">
        <f>$M120*(1+'FSS 805 Assumptions'!$D103)</f>
        <v>18025</v>
      </c>
      <c r="Q120" s="65">
        <f>$M120*(1+'FSS 805 Assumptions'!$D103)</f>
        <v>18025</v>
      </c>
      <c r="R120" s="65">
        <f>$M120*(1+'FSS 805 Assumptions'!$D103)</f>
        <v>18025</v>
      </c>
      <c r="S120" s="65">
        <f>$M120*(1+'FSS 805 Assumptions'!$D103)</f>
        <v>18025</v>
      </c>
      <c r="T120" s="65">
        <f>$M120*(1+'FSS 805 Assumptions'!$D103)</f>
        <v>18025</v>
      </c>
      <c r="U120" s="65">
        <f>$M120*(1+'FSS 805 Assumptions'!$D103)</f>
        <v>18025</v>
      </c>
      <c r="V120" s="65">
        <f>$M120*(1+'FSS 805 Assumptions'!$D103)</f>
        <v>18025</v>
      </c>
      <c r="W120" s="65">
        <f>$M120*(1+'FSS 805 Assumptions'!$D103)</f>
        <v>18025</v>
      </c>
      <c r="X120" s="65">
        <f>$M120*(1+'FSS 805 Assumptions'!$D103)</f>
        <v>18025</v>
      </c>
      <c r="Y120" s="65">
        <f>$M120*(1+'FSS 805 Assumptions'!$D103)</f>
        <v>18025</v>
      </c>
      <c r="Z120" s="65">
        <f>$M120*(1+'FSS 805 Assumptions'!$D103)</f>
        <v>18025</v>
      </c>
      <c r="AA120" s="59">
        <f t="shared" si="60"/>
        <v>216300</v>
      </c>
      <c r="AB120" s="65">
        <f>$Z120*(1+'FSS 805 Assumptions'!$E103)</f>
        <v>18565.75</v>
      </c>
      <c r="AC120" s="65">
        <f>$Z120*(1+'FSS 805 Assumptions'!$E103)</f>
        <v>18565.75</v>
      </c>
      <c r="AD120" s="65">
        <f>$Z120*(1+'FSS 805 Assumptions'!$E103)</f>
        <v>18565.75</v>
      </c>
      <c r="AE120" s="65">
        <f>$Z120*(1+'FSS 805 Assumptions'!$E103)</f>
        <v>18565.75</v>
      </c>
      <c r="AF120" s="65">
        <f>$Z120*(1+'FSS 805 Assumptions'!$E103)</f>
        <v>18565.75</v>
      </c>
      <c r="AG120" s="65">
        <f>$Z120*(1+'FSS 805 Assumptions'!$E103)</f>
        <v>18565.75</v>
      </c>
      <c r="AH120" s="65">
        <f>$Z120*(1+'FSS 805 Assumptions'!$E103)</f>
        <v>18565.75</v>
      </c>
      <c r="AI120" s="65">
        <f>$Z120*(1+'FSS 805 Assumptions'!$E103)</f>
        <v>18565.75</v>
      </c>
      <c r="AJ120" s="65">
        <f>$Z120*(1+'FSS 805 Assumptions'!$E103)</f>
        <v>18565.75</v>
      </c>
      <c r="AK120" s="65">
        <f>$Z120*(1+'FSS 805 Assumptions'!$E103)</f>
        <v>18565.75</v>
      </c>
      <c r="AL120" s="65">
        <f>$Z120*(1+'FSS 805 Assumptions'!$E103)</f>
        <v>18565.75</v>
      </c>
      <c r="AM120" s="65">
        <f>$Z120*(1+'FSS 805 Assumptions'!$E103)</f>
        <v>18565.75</v>
      </c>
      <c r="AN120" s="172">
        <f>AA120*(1+'FSS 805 Assumptions'!E103)</f>
        <v>222789</v>
      </c>
      <c r="AO120" s="65">
        <f>$AM120*(1+'FSS 805 Assumptions'!$F103)</f>
        <v>19122.7225</v>
      </c>
      <c r="AP120" s="65">
        <f>$AM120*(1+'FSS 805 Assumptions'!$F103)</f>
        <v>19122.7225</v>
      </c>
      <c r="AQ120" s="65">
        <f>$AM120*(1+'FSS 805 Assumptions'!$F103)</f>
        <v>19122.7225</v>
      </c>
      <c r="AR120" s="65">
        <f>$AM120*(1+'FSS 805 Assumptions'!$F103)</f>
        <v>19122.7225</v>
      </c>
      <c r="AS120" s="65">
        <f>$AM120*(1+'FSS 805 Assumptions'!$F103)</f>
        <v>19122.7225</v>
      </c>
      <c r="AT120" s="65">
        <f>$AM120*(1+'FSS 805 Assumptions'!$F103)</f>
        <v>19122.7225</v>
      </c>
      <c r="AU120" s="65">
        <f>$AM120*(1+'FSS 805 Assumptions'!$F103)</f>
        <v>19122.7225</v>
      </c>
      <c r="AV120" s="65">
        <f>$AM120*(1+'FSS 805 Assumptions'!$F103)</f>
        <v>19122.7225</v>
      </c>
      <c r="AW120" s="65">
        <f>$AM120*(1+'FSS 805 Assumptions'!$F103)</f>
        <v>19122.7225</v>
      </c>
      <c r="AX120" s="65">
        <f>$AM120*(1+'FSS 805 Assumptions'!$F103)</f>
        <v>19122.7225</v>
      </c>
      <c r="AY120" s="65">
        <f>$AM120*(1+'FSS 805 Assumptions'!$F103)</f>
        <v>19122.7225</v>
      </c>
      <c r="AZ120" s="65">
        <f>$AM120*(1+'FSS 805 Assumptions'!$F103)</f>
        <v>19122.7225</v>
      </c>
      <c r="BA120" s="59">
        <f t="shared" si="61"/>
        <v>229472.67</v>
      </c>
      <c r="BB120" s="172">
        <f>BA120*(1+'FSS 805 Assumptions'!G103)</f>
        <v>236356.85010000001</v>
      </c>
    </row>
    <row r="121" spans="1:54" x14ac:dyDescent="0.2">
      <c r="A121" s="93" t="s">
        <v>240</v>
      </c>
      <c r="B121" s="65">
        <f>'FSS 805 Assumptions'!$B104</f>
        <v>50</v>
      </c>
      <c r="C121" s="65">
        <f>'FSS 805 Assumptions'!$B104</f>
        <v>50</v>
      </c>
      <c r="D121" s="65">
        <f>'FSS 805 Assumptions'!$B104</f>
        <v>50</v>
      </c>
      <c r="E121" s="65">
        <f>'FSS 805 Assumptions'!$B104</f>
        <v>50</v>
      </c>
      <c r="F121" s="65">
        <f>'FSS 805 Assumptions'!$B104</f>
        <v>50</v>
      </c>
      <c r="G121" s="65">
        <f>'FSS 805 Assumptions'!$B104</f>
        <v>50</v>
      </c>
      <c r="H121" s="65">
        <f>'FSS 805 Assumptions'!$B104</f>
        <v>50</v>
      </c>
      <c r="I121" s="65">
        <f>'FSS 805 Assumptions'!$B104</f>
        <v>50</v>
      </c>
      <c r="J121" s="65">
        <f>'FSS 805 Assumptions'!$B104</f>
        <v>50</v>
      </c>
      <c r="K121" s="65">
        <f>'FSS 805 Assumptions'!$B104</f>
        <v>50</v>
      </c>
      <c r="L121" s="65">
        <f>'FSS 805 Assumptions'!$B104</f>
        <v>50</v>
      </c>
      <c r="M121" s="65">
        <f>'FSS 805 Assumptions'!$B104</f>
        <v>50</v>
      </c>
      <c r="N121" s="156">
        <f t="shared" si="62"/>
        <v>600</v>
      </c>
      <c r="O121" s="65">
        <f>$M121*(1+'FSS 805 Assumptions'!$D104)</f>
        <v>51.5</v>
      </c>
      <c r="P121" s="65">
        <f>$M121*(1+'FSS 805 Assumptions'!$D104)</f>
        <v>51.5</v>
      </c>
      <c r="Q121" s="65">
        <f>$M121*(1+'FSS 805 Assumptions'!$D104)</f>
        <v>51.5</v>
      </c>
      <c r="R121" s="65">
        <f>$M121*(1+'FSS 805 Assumptions'!$D104)</f>
        <v>51.5</v>
      </c>
      <c r="S121" s="65">
        <f>$M121*(1+'FSS 805 Assumptions'!$D104)</f>
        <v>51.5</v>
      </c>
      <c r="T121" s="65">
        <f>$M121*(1+'FSS 805 Assumptions'!$D104)</f>
        <v>51.5</v>
      </c>
      <c r="U121" s="65">
        <f>$M121*(1+'FSS 805 Assumptions'!$D104)</f>
        <v>51.5</v>
      </c>
      <c r="V121" s="65">
        <f>$M121*(1+'FSS 805 Assumptions'!$D104)</f>
        <v>51.5</v>
      </c>
      <c r="W121" s="65">
        <f>$M121*(1+'FSS 805 Assumptions'!$D104)</f>
        <v>51.5</v>
      </c>
      <c r="X121" s="65">
        <f>$M121*(1+'FSS 805 Assumptions'!$D104)</f>
        <v>51.5</v>
      </c>
      <c r="Y121" s="65">
        <f>$M121*(1+'FSS 805 Assumptions'!$D104)</f>
        <v>51.5</v>
      </c>
      <c r="Z121" s="65">
        <f>$M121*(1+'FSS 805 Assumptions'!$D104)</f>
        <v>51.5</v>
      </c>
      <c r="AA121" s="59">
        <f t="shared" si="60"/>
        <v>618</v>
      </c>
      <c r="AB121" s="65">
        <f>$Z121*(1+'FSS 805 Assumptions'!$E104)</f>
        <v>53.045000000000002</v>
      </c>
      <c r="AC121" s="65">
        <f>$Z121*(1+'FSS 805 Assumptions'!$E104)</f>
        <v>53.045000000000002</v>
      </c>
      <c r="AD121" s="65">
        <f>$Z121*(1+'FSS 805 Assumptions'!$E104)</f>
        <v>53.045000000000002</v>
      </c>
      <c r="AE121" s="65">
        <f>$Z121*(1+'FSS 805 Assumptions'!$E104)</f>
        <v>53.045000000000002</v>
      </c>
      <c r="AF121" s="65">
        <f>$Z121*(1+'FSS 805 Assumptions'!$E104)</f>
        <v>53.045000000000002</v>
      </c>
      <c r="AG121" s="65">
        <f>$Z121*(1+'FSS 805 Assumptions'!$E104)</f>
        <v>53.045000000000002</v>
      </c>
      <c r="AH121" s="65">
        <f>$Z121*(1+'FSS 805 Assumptions'!$E104)</f>
        <v>53.045000000000002</v>
      </c>
      <c r="AI121" s="65">
        <f>$Z121*(1+'FSS 805 Assumptions'!$E104)</f>
        <v>53.045000000000002</v>
      </c>
      <c r="AJ121" s="65">
        <f>$Z121*(1+'FSS 805 Assumptions'!$E104)</f>
        <v>53.045000000000002</v>
      </c>
      <c r="AK121" s="65">
        <f>$Z121*(1+'FSS 805 Assumptions'!$E104)</f>
        <v>53.045000000000002</v>
      </c>
      <c r="AL121" s="65">
        <f>$Z121*(1+'FSS 805 Assumptions'!$E104)</f>
        <v>53.045000000000002</v>
      </c>
      <c r="AM121" s="65">
        <f>$Z121*(1+'FSS 805 Assumptions'!$E104)</f>
        <v>53.045000000000002</v>
      </c>
      <c r="AN121" s="172">
        <f>AA121*(1+'FSS 805 Assumptions'!E104)</f>
        <v>636.54</v>
      </c>
      <c r="AO121" s="65">
        <f>$AM121*(1+'FSS 805 Assumptions'!$F104)</f>
        <v>54.63635</v>
      </c>
      <c r="AP121" s="65">
        <f>$AM121*(1+'FSS 805 Assumptions'!$F104)</f>
        <v>54.63635</v>
      </c>
      <c r="AQ121" s="65">
        <f>$AM121*(1+'FSS 805 Assumptions'!$F104)</f>
        <v>54.63635</v>
      </c>
      <c r="AR121" s="65">
        <f>$AM121*(1+'FSS 805 Assumptions'!$F104)</f>
        <v>54.63635</v>
      </c>
      <c r="AS121" s="65">
        <f>$AM121*(1+'FSS 805 Assumptions'!$F104)</f>
        <v>54.63635</v>
      </c>
      <c r="AT121" s="65">
        <f>$AM121*(1+'FSS 805 Assumptions'!$F104)</f>
        <v>54.63635</v>
      </c>
      <c r="AU121" s="65">
        <f>$AM121*(1+'FSS 805 Assumptions'!$F104)</f>
        <v>54.63635</v>
      </c>
      <c r="AV121" s="65">
        <f>$AM121*(1+'FSS 805 Assumptions'!$F104)</f>
        <v>54.63635</v>
      </c>
      <c r="AW121" s="65">
        <f>$AM121*(1+'FSS 805 Assumptions'!$F104)</f>
        <v>54.63635</v>
      </c>
      <c r="AX121" s="65">
        <f>$AM121*(1+'FSS 805 Assumptions'!$F104)</f>
        <v>54.63635</v>
      </c>
      <c r="AY121" s="65">
        <f>$AM121*(1+'FSS 805 Assumptions'!$F104)</f>
        <v>54.63635</v>
      </c>
      <c r="AZ121" s="65">
        <f>$AM121*(1+'FSS 805 Assumptions'!$F104)</f>
        <v>54.63635</v>
      </c>
      <c r="BA121" s="59">
        <f t="shared" si="61"/>
        <v>655.63620000000003</v>
      </c>
      <c r="BB121" s="172">
        <f>BA121*(1+'FSS 805 Assumptions'!G104)</f>
        <v>675.30528600000002</v>
      </c>
    </row>
    <row r="122" spans="1:54" x14ac:dyDescent="0.2">
      <c r="A122" s="76" t="s">
        <v>243</v>
      </c>
      <c r="B122" s="65">
        <f>'FSS 805 Assumptions'!$B105</f>
        <v>0</v>
      </c>
      <c r="C122" s="65">
        <f>'FSS 805 Assumptions'!$B105</f>
        <v>0</v>
      </c>
      <c r="D122" s="65">
        <f>'FSS 805 Assumptions'!$B105</f>
        <v>0</v>
      </c>
      <c r="E122" s="65">
        <f>'FSS 805 Assumptions'!$B105</f>
        <v>0</v>
      </c>
      <c r="F122" s="65">
        <f>'FSS 805 Assumptions'!$B105</f>
        <v>0</v>
      </c>
      <c r="G122" s="65">
        <f>'FSS 805 Assumptions'!$B105</f>
        <v>0</v>
      </c>
      <c r="H122" s="65">
        <f>'FSS 805 Assumptions'!$B105</f>
        <v>0</v>
      </c>
      <c r="I122" s="65">
        <f>'FSS 805 Assumptions'!$B105</f>
        <v>0</v>
      </c>
      <c r="J122" s="65">
        <f>'FSS 805 Assumptions'!$B105</f>
        <v>0</v>
      </c>
      <c r="K122" s="65">
        <f>'FSS 805 Assumptions'!$B105</f>
        <v>0</v>
      </c>
      <c r="L122" s="65">
        <f>'FSS 805 Assumptions'!$B105</f>
        <v>0</v>
      </c>
      <c r="M122" s="65">
        <f>'FSS 805 Assumptions'!$B105</f>
        <v>0</v>
      </c>
      <c r="N122" s="156">
        <f t="shared" si="62"/>
        <v>0</v>
      </c>
      <c r="O122" s="65">
        <f>$M122*(1+'FSS 805 Assumptions'!$D105)</f>
        <v>0</v>
      </c>
      <c r="P122" s="65">
        <f>$M122*(1+'FSS 805 Assumptions'!$D105)</f>
        <v>0</v>
      </c>
      <c r="Q122" s="65">
        <f>$M122*(1+'FSS 805 Assumptions'!$D105)</f>
        <v>0</v>
      </c>
      <c r="R122" s="65">
        <f>$M122*(1+'FSS 805 Assumptions'!$D105)</f>
        <v>0</v>
      </c>
      <c r="S122" s="65">
        <f>$M122*(1+'FSS 805 Assumptions'!$D105)</f>
        <v>0</v>
      </c>
      <c r="T122" s="65">
        <f>$M122*(1+'FSS 805 Assumptions'!$D105)</f>
        <v>0</v>
      </c>
      <c r="U122" s="65">
        <f>$M122*(1+'FSS 805 Assumptions'!$D105)</f>
        <v>0</v>
      </c>
      <c r="V122" s="65">
        <f>$M122*(1+'FSS 805 Assumptions'!$D105)</f>
        <v>0</v>
      </c>
      <c r="W122" s="65">
        <f>$M122*(1+'FSS 805 Assumptions'!$D105)</f>
        <v>0</v>
      </c>
      <c r="X122" s="65">
        <f>$M122*(1+'FSS 805 Assumptions'!$D105)</f>
        <v>0</v>
      </c>
      <c r="Y122" s="65">
        <f>$M122*(1+'FSS 805 Assumptions'!$D105)</f>
        <v>0</v>
      </c>
      <c r="Z122" s="65">
        <f>$M122*(1+'FSS 805 Assumptions'!$D105)</f>
        <v>0</v>
      </c>
      <c r="AA122" s="59">
        <f t="shared" si="60"/>
        <v>0</v>
      </c>
      <c r="AB122" s="65">
        <f>$Z122*(1+'FSS 805 Assumptions'!$E105)</f>
        <v>0</v>
      </c>
      <c r="AC122" s="65">
        <f>$Z122*(1+'FSS 805 Assumptions'!$E105)</f>
        <v>0</v>
      </c>
      <c r="AD122" s="65">
        <f>$Z122*(1+'FSS 805 Assumptions'!$E105)</f>
        <v>0</v>
      </c>
      <c r="AE122" s="65">
        <f>$Z122*(1+'FSS 805 Assumptions'!$E105)</f>
        <v>0</v>
      </c>
      <c r="AF122" s="65">
        <f>$Z122*(1+'FSS 805 Assumptions'!$E105)</f>
        <v>0</v>
      </c>
      <c r="AG122" s="65">
        <f>$Z122*(1+'FSS 805 Assumptions'!$E105)</f>
        <v>0</v>
      </c>
      <c r="AH122" s="65">
        <f>$Z122*(1+'FSS 805 Assumptions'!$E105)</f>
        <v>0</v>
      </c>
      <c r="AI122" s="65">
        <f>$Z122*(1+'FSS 805 Assumptions'!$E105)</f>
        <v>0</v>
      </c>
      <c r="AJ122" s="65">
        <f>$Z122*(1+'FSS 805 Assumptions'!$E105)</f>
        <v>0</v>
      </c>
      <c r="AK122" s="65">
        <f>$Z122*(1+'FSS 805 Assumptions'!$E105)</f>
        <v>0</v>
      </c>
      <c r="AL122" s="65">
        <f>$Z122*(1+'FSS 805 Assumptions'!$E105)</f>
        <v>0</v>
      </c>
      <c r="AM122" s="65">
        <f>$Z122*(1+'FSS 805 Assumptions'!$E105)</f>
        <v>0</v>
      </c>
      <c r="AN122" s="172">
        <f>AA122*(1+'FSS 805 Assumptions'!E105)</f>
        <v>0</v>
      </c>
      <c r="AO122" s="65">
        <f>$AM122*(1+'FSS 805 Assumptions'!$F105)</f>
        <v>0</v>
      </c>
      <c r="AP122" s="65">
        <f>$AM122*(1+'FSS 805 Assumptions'!$F105)</f>
        <v>0</v>
      </c>
      <c r="AQ122" s="65">
        <f>$AM122*(1+'FSS 805 Assumptions'!$F105)</f>
        <v>0</v>
      </c>
      <c r="AR122" s="65">
        <f>$AM122*(1+'FSS 805 Assumptions'!$F105)</f>
        <v>0</v>
      </c>
      <c r="AS122" s="65">
        <f>$AM122*(1+'FSS 805 Assumptions'!$F105)</f>
        <v>0</v>
      </c>
      <c r="AT122" s="65">
        <f>$AM122*(1+'FSS 805 Assumptions'!$F105)</f>
        <v>0</v>
      </c>
      <c r="AU122" s="65">
        <f>$AM122*(1+'FSS 805 Assumptions'!$F105)</f>
        <v>0</v>
      </c>
      <c r="AV122" s="65">
        <f>$AM122*(1+'FSS 805 Assumptions'!$F105)</f>
        <v>0</v>
      </c>
      <c r="AW122" s="65">
        <f>$AM122*(1+'FSS 805 Assumptions'!$F105)</f>
        <v>0</v>
      </c>
      <c r="AX122" s="65">
        <f>$AM122*(1+'FSS 805 Assumptions'!$F105)</f>
        <v>0</v>
      </c>
      <c r="AY122" s="65">
        <f>$AM122*(1+'FSS 805 Assumptions'!$F105)</f>
        <v>0</v>
      </c>
      <c r="AZ122" s="65">
        <f>$AM122*(1+'FSS 805 Assumptions'!$F105)</f>
        <v>0</v>
      </c>
      <c r="BA122" s="59">
        <f t="shared" si="61"/>
        <v>0</v>
      </c>
      <c r="BB122" s="172">
        <f>BA122*(1+'FSS 805 Assumptions'!G105)</f>
        <v>0</v>
      </c>
    </row>
    <row r="123" spans="1:54" x14ac:dyDescent="0.2">
      <c r="A123" s="76" t="s">
        <v>244</v>
      </c>
      <c r="B123" s="65">
        <f>'FSS 805 Assumptions'!$B106</f>
        <v>50</v>
      </c>
      <c r="C123" s="65">
        <f>'FSS 805 Assumptions'!$B106</f>
        <v>50</v>
      </c>
      <c r="D123" s="65">
        <f>'FSS 805 Assumptions'!$B106</f>
        <v>50</v>
      </c>
      <c r="E123" s="65">
        <f>'FSS 805 Assumptions'!$B106</f>
        <v>50</v>
      </c>
      <c r="F123" s="65">
        <f>'FSS 805 Assumptions'!$B106</f>
        <v>50</v>
      </c>
      <c r="G123" s="65">
        <f>'FSS 805 Assumptions'!$B106</f>
        <v>50</v>
      </c>
      <c r="H123" s="65">
        <f>'FSS 805 Assumptions'!$B106</f>
        <v>50</v>
      </c>
      <c r="I123" s="65">
        <f>'FSS 805 Assumptions'!$B106</f>
        <v>50</v>
      </c>
      <c r="J123" s="65">
        <f>'FSS 805 Assumptions'!$B106</f>
        <v>50</v>
      </c>
      <c r="K123" s="65">
        <f>'FSS 805 Assumptions'!$B106</f>
        <v>50</v>
      </c>
      <c r="L123" s="65">
        <f>'FSS 805 Assumptions'!$B106</f>
        <v>50</v>
      </c>
      <c r="M123" s="65">
        <f>'FSS 805 Assumptions'!$B106</f>
        <v>50</v>
      </c>
      <c r="N123" s="156">
        <f t="shared" si="62"/>
        <v>600</v>
      </c>
      <c r="O123" s="65">
        <f>$M123*(1+'FSS 805 Assumptions'!$D106)</f>
        <v>51.5</v>
      </c>
      <c r="P123" s="65">
        <f>$M123*(1+'FSS 805 Assumptions'!$D106)</f>
        <v>51.5</v>
      </c>
      <c r="Q123" s="65">
        <f>$M123*(1+'FSS 805 Assumptions'!$D106)</f>
        <v>51.5</v>
      </c>
      <c r="R123" s="65">
        <f>$M123*(1+'FSS 805 Assumptions'!$D106)</f>
        <v>51.5</v>
      </c>
      <c r="S123" s="65">
        <f>$M123*(1+'FSS 805 Assumptions'!$D106)</f>
        <v>51.5</v>
      </c>
      <c r="T123" s="65">
        <f>$M123*(1+'FSS 805 Assumptions'!$D106)</f>
        <v>51.5</v>
      </c>
      <c r="U123" s="65">
        <f>$M123*(1+'FSS 805 Assumptions'!$D106)</f>
        <v>51.5</v>
      </c>
      <c r="V123" s="65">
        <f>$M123*(1+'FSS 805 Assumptions'!$D106)</f>
        <v>51.5</v>
      </c>
      <c r="W123" s="65">
        <f>$M123*(1+'FSS 805 Assumptions'!$D106)</f>
        <v>51.5</v>
      </c>
      <c r="X123" s="65">
        <f>$M123*(1+'FSS 805 Assumptions'!$D106)</f>
        <v>51.5</v>
      </c>
      <c r="Y123" s="65">
        <f>$M123*(1+'FSS 805 Assumptions'!$D106)</f>
        <v>51.5</v>
      </c>
      <c r="Z123" s="65">
        <f>$M123*(1+'FSS 805 Assumptions'!$D106)</f>
        <v>51.5</v>
      </c>
      <c r="AA123" s="59">
        <f t="shared" si="60"/>
        <v>618</v>
      </c>
      <c r="AB123" s="65">
        <f>$Z123*(1+'FSS 805 Assumptions'!$E106)</f>
        <v>53.045000000000002</v>
      </c>
      <c r="AC123" s="65">
        <f>$Z123*(1+'FSS 805 Assumptions'!$E106)</f>
        <v>53.045000000000002</v>
      </c>
      <c r="AD123" s="65">
        <f>$Z123*(1+'FSS 805 Assumptions'!$E106)</f>
        <v>53.045000000000002</v>
      </c>
      <c r="AE123" s="65">
        <f>$Z123*(1+'FSS 805 Assumptions'!$E106)</f>
        <v>53.045000000000002</v>
      </c>
      <c r="AF123" s="65">
        <f>$Z123*(1+'FSS 805 Assumptions'!$E106)</f>
        <v>53.045000000000002</v>
      </c>
      <c r="AG123" s="65">
        <f>$Z123*(1+'FSS 805 Assumptions'!$E106)</f>
        <v>53.045000000000002</v>
      </c>
      <c r="AH123" s="65">
        <f>$Z123*(1+'FSS 805 Assumptions'!$E106)</f>
        <v>53.045000000000002</v>
      </c>
      <c r="AI123" s="65">
        <f>$Z123*(1+'FSS 805 Assumptions'!$E106)</f>
        <v>53.045000000000002</v>
      </c>
      <c r="AJ123" s="65">
        <f>$Z123*(1+'FSS 805 Assumptions'!$E106)</f>
        <v>53.045000000000002</v>
      </c>
      <c r="AK123" s="65">
        <f>$Z123*(1+'FSS 805 Assumptions'!$E106)</f>
        <v>53.045000000000002</v>
      </c>
      <c r="AL123" s="65">
        <f>$Z123*(1+'FSS 805 Assumptions'!$E106)</f>
        <v>53.045000000000002</v>
      </c>
      <c r="AM123" s="65">
        <f>$Z123*(1+'FSS 805 Assumptions'!$E106)</f>
        <v>53.045000000000002</v>
      </c>
      <c r="AN123" s="172">
        <f>AA123*(1+'FSS 805 Assumptions'!E106)</f>
        <v>636.54</v>
      </c>
      <c r="AO123" s="65">
        <f>$AM123*(1+'FSS 805 Assumptions'!$F106)</f>
        <v>54.63635</v>
      </c>
      <c r="AP123" s="65">
        <f>$AM123*(1+'FSS 805 Assumptions'!$F106)</f>
        <v>54.63635</v>
      </c>
      <c r="AQ123" s="65">
        <f>$AM123*(1+'FSS 805 Assumptions'!$F106)</f>
        <v>54.63635</v>
      </c>
      <c r="AR123" s="65">
        <f>$AM123*(1+'FSS 805 Assumptions'!$F106)</f>
        <v>54.63635</v>
      </c>
      <c r="AS123" s="65">
        <f>$AM123*(1+'FSS 805 Assumptions'!$F106)</f>
        <v>54.63635</v>
      </c>
      <c r="AT123" s="65">
        <f>$AM123*(1+'FSS 805 Assumptions'!$F106)</f>
        <v>54.63635</v>
      </c>
      <c r="AU123" s="65">
        <f>$AM123*(1+'FSS 805 Assumptions'!$F106)</f>
        <v>54.63635</v>
      </c>
      <c r="AV123" s="65">
        <f>$AM123*(1+'FSS 805 Assumptions'!$F106)</f>
        <v>54.63635</v>
      </c>
      <c r="AW123" s="65">
        <f>$AM123*(1+'FSS 805 Assumptions'!$F106)</f>
        <v>54.63635</v>
      </c>
      <c r="AX123" s="65">
        <f>$AM123*(1+'FSS 805 Assumptions'!$F106)</f>
        <v>54.63635</v>
      </c>
      <c r="AY123" s="65">
        <f>$AM123*(1+'FSS 805 Assumptions'!$F106)</f>
        <v>54.63635</v>
      </c>
      <c r="AZ123" s="65">
        <f>$AM123*(1+'FSS 805 Assumptions'!$F106)</f>
        <v>54.63635</v>
      </c>
      <c r="BA123" s="59">
        <f t="shared" si="61"/>
        <v>655.63620000000003</v>
      </c>
      <c r="BB123" s="172">
        <f>BA123*(1+'FSS 805 Assumptions'!G106)</f>
        <v>675.30528600000002</v>
      </c>
    </row>
    <row r="124" spans="1:54" x14ac:dyDescent="0.2">
      <c r="A124" s="76" t="s">
        <v>248</v>
      </c>
      <c r="B124" s="65">
        <f>'FSS 805 Assumptions'!$B107</f>
        <v>115</v>
      </c>
      <c r="C124" s="65">
        <f>'FSS 805 Assumptions'!$B107</f>
        <v>115</v>
      </c>
      <c r="D124" s="65">
        <f>'FSS 805 Assumptions'!$B107</f>
        <v>115</v>
      </c>
      <c r="E124" s="65">
        <f>'FSS 805 Assumptions'!$B107</f>
        <v>115</v>
      </c>
      <c r="F124" s="65">
        <f>'FSS 805 Assumptions'!$B107</f>
        <v>115</v>
      </c>
      <c r="G124" s="65">
        <f>'FSS 805 Assumptions'!$B107</f>
        <v>115</v>
      </c>
      <c r="H124" s="65">
        <f>'FSS 805 Assumptions'!$B107</f>
        <v>115</v>
      </c>
      <c r="I124" s="65">
        <f>'FSS 805 Assumptions'!$B107</f>
        <v>115</v>
      </c>
      <c r="J124" s="65">
        <f>'FSS 805 Assumptions'!$B107</f>
        <v>115</v>
      </c>
      <c r="K124" s="65">
        <f>'FSS 805 Assumptions'!$B107</f>
        <v>115</v>
      </c>
      <c r="L124" s="65">
        <f>'FSS 805 Assumptions'!$B107</f>
        <v>115</v>
      </c>
      <c r="M124" s="65">
        <f>'FSS 805 Assumptions'!$B107</f>
        <v>115</v>
      </c>
      <c r="N124" s="156">
        <f t="shared" si="62"/>
        <v>1380</v>
      </c>
      <c r="O124" s="65">
        <f>$M124*(1+'FSS 805 Assumptions'!$D107)</f>
        <v>118.45</v>
      </c>
      <c r="P124" s="65">
        <f>$M124*(1+'FSS 805 Assumptions'!$D107)</f>
        <v>118.45</v>
      </c>
      <c r="Q124" s="65">
        <f>$M124*(1+'FSS 805 Assumptions'!$D107)</f>
        <v>118.45</v>
      </c>
      <c r="R124" s="65">
        <f>$M124*(1+'FSS 805 Assumptions'!$D107)</f>
        <v>118.45</v>
      </c>
      <c r="S124" s="65">
        <f>$M124*(1+'FSS 805 Assumptions'!$D107)</f>
        <v>118.45</v>
      </c>
      <c r="T124" s="65">
        <f>$M124*(1+'FSS 805 Assumptions'!$D107)</f>
        <v>118.45</v>
      </c>
      <c r="U124" s="65">
        <f>$M124*(1+'FSS 805 Assumptions'!$D107)</f>
        <v>118.45</v>
      </c>
      <c r="V124" s="65">
        <f>$M124*(1+'FSS 805 Assumptions'!$D107)</f>
        <v>118.45</v>
      </c>
      <c r="W124" s="65">
        <f>$M124*(1+'FSS 805 Assumptions'!$D107)</f>
        <v>118.45</v>
      </c>
      <c r="X124" s="65">
        <f>$M124*(1+'FSS 805 Assumptions'!$D107)</f>
        <v>118.45</v>
      </c>
      <c r="Y124" s="65">
        <f>$M124*(1+'FSS 805 Assumptions'!$D107)</f>
        <v>118.45</v>
      </c>
      <c r="Z124" s="65">
        <f>$M124*(1+'FSS 805 Assumptions'!$D107)</f>
        <v>118.45</v>
      </c>
      <c r="AA124" s="59">
        <f t="shared" si="60"/>
        <v>1421.4000000000003</v>
      </c>
      <c r="AB124" s="65">
        <f>$Z124*(1+'FSS 805 Assumptions'!$E107)</f>
        <v>122.0035</v>
      </c>
      <c r="AC124" s="65">
        <f>$Z124*(1+'FSS 805 Assumptions'!$E107)</f>
        <v>122.0035</v>
      </c>
      <c r="AD124" s="65">
        <f>$Z124*(1+'FSS 805 Assumptions'!$E107)</f>
        <v>122.0035</v>
      </c>
      <c r="AE124" s="65">
        <f>$Z124*(1+'FSS 805 Assumptions'!$E107)</f>
        <v>122.0035</v>
      </c>
      <c r="AF124" s="65">
        <f>$Z124*(1+'FSS 805 Assumptions'!$E107)</f>
        <v>122.0035</v>
      </c>
      <c r="AG124" s="65">
        <f>$Z124*(1+'FSS 805 Assumptions'!$E107)</f>
        <v>122.0035</v>
      </c>
      <c r="AH124" s="65">
        <f>$Z124*(1+'FSS 805 Assumptions'!$E107)</f>
        <v>122.0035</v>
      </c>
      <c r="AI124" s="65">
        <f>$Z124*(1+'FSS 805 Assumptions'!$E107)</f>
        <v>122.0035</v>
      </c>
      <c r="AJ124" s="65">
        <f>$Z124*(1+'FSS 805 Assumptions'!$E107)</f>
        <v>122.0035</v>
      </c>
      <c r="AK124" s="65">
        <f>$Z124*(1+'FSS 805 Assumptions'!$E107)</f>
        <v>122.0035</v>
      </c>
      <c r="AL124" s="65">
        <f>$Z124*(1+'FSS 805 Assumptions'!$E107)</f>
        <v>122.0035</v>
      </c>
      <c r="AM124" s="65">
        <f>$Z124*(1+'FSS 805 Assumptions'!$E107)</f>
        <v>122.0035</v>
      </c>
      <c r="AN124" s="172">
        <f>AA124*(1+'FSS 805 Assumptions'!E107)</f>
        <v>1464.0420000000004</v>
      </c>
      <c r="AO124" s="65">
        <f>$AM124*(1+'FSS 805 Assumptions'!$F107)</f>
        <v>125.663605</v>
      </c>
      <c r="AP124" s="65">
        <f>$AM124*(1+'FSS 805 Assumptions'!$F107)</f>
        <v>125.663605</v>
      </c>
      <c r="AQ124" s="65">
        <f>$AM124*(1+'FSS 805 Assumptions'!$F107)</f>
        <v>125.663605</v>
      </c>
      <c r="AR124" s="65">
        <f>$AM124*(1+'FSS 805 Assumptions'!$F107)</f>
        <v>125.663605</v>
      </c>
      <c r="AS124" s="65">
        <f>$AM124*(1+'FSS 805 Assumptions'!$F107)</f>
        <v>125.663605</v>
      </c>
      <c r="AT124" s="65">
        <f>$AM124*(1+'FSS 805 Assumptions'!$F107)</f>
        <v>125.663605</v>
      </c>
      <c r="AU124" s="65">
        <f>$AM124*(1+'FSS 805 Assumptions'!$F107)</f>
        <v>125.663605</v>
      </c>
      <c r="AV124" s="65">
        <f>$AM124*(1+'FSS 805 Assumptions'!$F107)</f>
        <v>125.663605</v>
      </c>
      <c r="AW124" s="65">
        <f>$AM124*(1+'FSS 805 Assumptions'!$F107)</f>
        <v>125.663605</v>
      </c>
      <c r="AX124" s="65">
        <f>$AM124*(1+'FSS 805 Assumptions'!$F107)</f>
        <v>125.663605</v>
      </c>
      <c r="AY124" s="65">
        <f>$AM124*(1+'FSS 805 Assumptions'!$F107)</f>
        <v>125.663605</v>
      </c>
      <c r="AZ124" s="65">
        <f>$AM124*(1+'FSS 805 Assumptions'!$F107)</f>
        <v>125.663605</v>
      </c>
      <c r="BA124" s="59">
        <f t="shared" si="61"/>
        <v>1507.9632599999998</v>
      </c>
      <c r="BB124" s="172">
        <f>BA124*(1+'FSS 805 Assumptions'!G107)</f>
        <v>1553.2021577999999</v>
      </c>
    </row>
    <row r="125" spans="1:54" x14ac:dyDescent="0.2">
      <c r="A125" s="76" t="s">
        <v>414</v>
      </c>
      <c r="B125" s="65">
        <f>'FSS 805 Assumptions'!$B108</f>
        <v>500</v>
      </c>
      <c r="C125" s="65">
        <f>'FSS 805 Assumptions'!$B108</f>
        <v>500</v>
      </c>
      <c r="D125" s="65">
        <f>'FSS 805 Assumptions'!$B108</f>
        <v>500</v>
      </c>
      <c r="E125" s="65">
        <f>'FSS 805 Assumptions'!$B108</f>
        <v>500</v>
      </c>
      <c r="F125" s="65">
        <f>'FSS 805 Assumptions'!$B108</f>
        <v>500</v>
      </c>
      <c r="G125" s="65">
        <f>'FSS 805 Assumptions'!$B108</f>
        <v>500</v>
      </c>
      <c r="H125" s="65">
        <f>'FSS 805 Assumptions'!$B108</f>
        <v>500</v>
      </c>
      <c r="I125" s="65">
        <f>'FSS 805 Assumptions'!$B108</f>
        <v>500</v>
      </c>
      <c r="J125" s="65">
        <f>'FSS 805 Assumptions'!$B108</f>
        <v>500</v>
      </c>
      <c r="K125" s="65">
        <f>'FSS 805 Assumptions'!$B108</f>
        <v>500</v>
      </c>
      <c r="L125" s="65">
        <f>'FSS 805 Assumptions'!$B108</f>
        <v>500</v>
      </c>
      <c r="M125" s="65">
        <f>'FSS 805 Assumptions'!$B108</f>
        <v>500</v>
      </c>
      <c r="N125" s="156">
        <f t="shared" ref="N125" si="63">SUM(B125:M125)</f>
        <v>6000</v>
      </c>
      <c r="O125" s="65">
        <f>$M125*(1+'FSS 805 Assumptions'!$D108)</f>
        <v>500</v>
      </c>
      <c r="P125" s="65">
        <f>$M125*(1+'FSS 805 Assumptions'!$D108)</f>
        <v>500</v>
      </c>
      <c r="Q125" s="65">
        <f>$M125*(1+'FSS 805 Assumptions'!$D108)</f>
        <v>500</v>
      </c>
      <c r="R125" s="65">
        <f>$M125*(1+'FSS 805 Assumptions'!$D108)</f>
        <v>500</v>
      </c>
      <c r="S125" s="65">
        <f>$M125*(1+'FSS 805 Assumptions'!$D108)</f>
        <v>500</v>
      </c>
      <c r="T125" s="65">
        <f>$M125*(1+'FSS 805 Assumptions'!$D108)</f>
        <v>500</v>
      </c>
      <c r="U125" s="65">
        <f>$M125*(1+'FSS 805 Assumptions'!$D108)</f>
        <v>500</v>
      </c>
      <c r="V125" s="65">
        <f>$M125*(1+'FSS 805 Assumptions'!$D108)</f>
        <v>500</v>
      </c>
      <c r="W125" s="65">
        <f>$M125*(1+'FSS 805 Assumptions'!$D108)</f>
        <v>500</v>
      </c>
      <c r="X125" s="65">
        <f>$M125*(1+'FSS 805 Assumptions'!$D108)</f>
        <v>500</v>
      </c>
      <c r="Y125" s="65">
        <f>$M125*(1+'FSS 805 Assumptions'!$D108)</f>
        <v>500</v>
      </c>
      <c r="Z125" s="65">
        <f>$M125*(1+'FSS 805 Assumptions'!$D108)</f>
        <v>500</v>
      </c>
      <c r="AA125" s="59">
        <f t="shared" si="60"/>
        <v>6000</v>
      </c>
      <c r="AB125" s="65">
        <f>$Z125*(1+'FSS 805 Assumptions'!$E108)</f>
        <v>500</v>
      </c>
      <c r="AC125" s="65">
        <f>$Z125*(1+'FSS 805 Assumptions'!$E108)</f>
        <v>500</v>
      </c>
      <c r="AD125" s="65">
        <f>$Z125*(1+'FSS 805 Assumptions'!$E108)</f>
        <v>500</v>
      </c>
      <c r="AE125" s="65">
        <f>$Z125*(1+'FSS 805 Assumptions'!$E108)</f>
        <v>500</v>
      </c>
      <c r="AF125" s="65">
        <f>$Z125*(1+'FSS 805 Assumptions'!$E108)</f>
        <v>500</v>
      </c>
      <c r="AG125" s="65">
        <f>$Z125*(1+'FSS 805 Assumptions'!$E108)</f>
        <v>500</v>
      </c>
      <c r="AH125" s="65">
        <f>$Z125*(1+'FSS 805 Assumptions'!$E108)</f>
        <v>500</v>
      </c>
      <c r="AI125" s="65">
        <f>$Z125*(1+'FSS 805 Assumptions'!$E108)</f>
        <v>500</v>
      </c>
      <c r="AJ125" s="65">
        <f>$Z125*(1+'FSS 805 Assumptions'!$E108)</f>
        <v>500</v>
      </c>
      <c r="AK125" s="65">
        <f>$Z125*(1+'FSS 805 Assumptions'!$E108)</f>
        <v>500</v>
      </c>
      <c r="AL125" s="65">
        <f>$Z125*(1+'FSS 805 Assumptions'!$E108)</f>
        <v>500</v>
      </c>
      <c r="AM125" s="65">
        <f>$Z125*(1+'FSS 805 Assumptions'!$E108)</f>
        <v>500</v>
      </c>
      <c r="AN125" s="172">
        <f>AA125*(1+'FSS 805 Assumptions'!E108)</f>
        <v>6000</v>
      </c>
      <c r="AO125" s="65">
        <f>$AM125*(1+'FSS 805 Assumptions'!$F108)</f>
        <v>500</v>
      </c>
      <c r="AP125" s="65">
        <f>$AM125*(1+'FSS 805 Assumptions'!$F108)</f>
        <v>500</v>
      </c>
      <c r="AQ125" s="65">
        <f>$AM125*(1+'FSS 805 Assumptions'!$F108)</f>
        <v>500</v>
      </c>
      <c r="AR125" s="65">
        <f>$AM125*(1+'FSS 805 Assumptions'!$F108)</f>
        <v>500</v>
      </c>
      <c r="AS125" s="65">
        <f>$AM125*(1+'FSS 805 Assumptions'!$F108)</f>
        <v>500</v>
      </c>
      <c r="AT125" s="65">
        <f>$AM125*(1+'FSS 805 Assumptions'!$F108)</f>
        <v>500</v>
      </c>
      <c r="AU125" s="65">
        <f>$AM125*(1+'FSS 805 Assumptions'!$F108)</f>
        <v>500</v>
      </c>
      <c r="AV125" s="65">
        <f>$AM125*(1+'FSS 805 Assumptions'!$F108)</f>
        <v>500</v>
      </c>
      <c r="AW125" s="65">
        <f>$AM125*(1+'FSS 805 Assumptions'!$F108)</f>
        <v>500</v>
      </c>
      <c r="AX125" s="65">
        <f>$AM125*(1+'FSS 805 Assumptions'!$F108)</f>
        <v>500</v>
      </c>
      <c r="AY125" s="65">
        <f>$AM125*(1+'FSS 805 Assumptions'!$F108)</f>
        <v>500</v>
      </c>
      <c r="AZ125" s="65">
        <f>$AM125*(1+'FSS 805 Assumptions'!$F108)</f>
        <v>500</v>
      </c>
      <c r="BA125" s="59">
        <f t="shared" si="61"/>
        <v>6000</v>
      </c>
      <c r="BB125" s="172">
        <f>BA125*(1+'FSS 805 Assumptions'!G108)</f>
        <v>6000</v>
      </c>
    </row>
    <row r="126" spans="1:54" x14ac:dyDescent="0.2">
      <c r="A126" s="76" t="s">
        <v>242</v>
      </c>
      <c r="B126" s="65">
        <f>'FSS 805 Assumptions'!$B109</f>
        <v>500</v>
      </c>
      <c r="C126" s="65">
        <f>'FSS 805 Assumptions'!$B109</f>
        <v>500</v>
      </c>
      <c r="D126" s="65">
        <f>'FSS 805 Assumptions'!$B109</f>
        <v>500</v>
      </c>
      <c r="E126" s="65">
        <f>'FSS 805 Assumptions'!$B109</f>
        <v>500</v>
      </c>
      <c r="F126" s="65">
        <f>'FSS 805 Assumptions'!$B109</f>
        <v>500</v>
      </c>
      <c r="G126" s="65">
        <f>'FSS 805 Assumptions'!$B109</f>
        <v>500</v>
      </c>
      <c r="H126" s="65">
        <f>'FSS 805 Assumptions'!$B109</f>
        <v>500</v>
      </c>
      <c r="I126" s="65">
        <f>'FSS 805 Assumptions'!$B109</f>
        <v>500</v>
      </c>
      <c r="J126" s="65">
        <f>'FSS 805 Assumptions'!$B109</f>
        <v>500</v>
      </c>
      <c r="K126" s="65">
        <f>'FSS 805 Assumptions'!$B109</f>
        <v>500</v>
      </c>
      <c r="L126" s="65">
        <f>'FSS 805 Assumptions'!$B109</f>
        <v>500</v>
      </c>
      <c r="M126" s="65">
        <f>'FSS 805 Assumptions'!$B109</f>
        <v>500</v>
      </c>
      <c r="N126" s="156">
        <f t="shared" si="62"/>
        <v>6000</v>
      </c>
      <c r="O126" s="65">
        <f>$M126*(1+'FSS 805 Assumptions'!$D109)</f>
        <v>515</v>
      </c>
      <c r="P126" s="65">
        <f>$M126*(1+'FSS 805 Assumptions'!$D109)</f>
        <v>515</v>
      </c>
      <c r="Q126" s="65">
        <f>$M126*(1+'FSS 805 Assumptions'!$D109)</f>
        <v>515</v>
      </c>
      <c r="R126" s="65">
        <f>$M126*(1+'FSS 805 Assumptions'!$D109)</f>
        <v>515</v>
      </c>
      <c r="S126" s="65">
        <f>$M126*(1+'FSS 805 Assumptions'!$D109)</f>
        <v>515</v>
      </c>
      <c r="T126" s="65">
        <f>$M126*(1+'FSS 805 Assumptions'!$D109)</f>
        <v>515</v>
      </c>
      <c r="U126" s="65">
        <f>$M126*(1+'FSS 805 Assumptions'!$D109)</f>
        <v>515</v>
      </c>
      <c r="V126" s="65">
        <f>$M126*(1+'FSS 805 Assumptions'!$D109)</f>
        <v>515</v>
      </c>
      <c r="W126" s="65">
        <f>$M126*(1+'FSS 805 Assumptions'!$D109)</f>
        <v>515</v>
      </c>
      <c r="X126" s="65">
        <f>$M126*(1+'FSS 805 Assumptions'!$D109)</f>
        <v>515</v>
      </c>
      <c r="Y126" s="65">
        <f>$M126*(1+'FSS 805 Assumptions'!$D109)</f>
        <v>515</v>
      </c>
      <c r="Z126" s="65">
        <f>$M126*(1+'FSS 805 Assumptions'!$D109)</f>
        <v>515</v>
      </c>
      <c r="AA126" s="59">
        <f t="shared" si="60"/>
        <v>6180</v>
      </c>
      <c r="AB126" s="65">
        <f>$Z126*(1+'FSS 805 Assumptions'!$E109)</f>
        <v>530.45000000000005</v>
      </c>
      <c r="AC126" s="65">
        <f>$Z126*(1+'FSS 805 Assumptions'!$E109)</f>
        <v>530.45000000000005</v>
      </c>
      <c r="AD126" s="65">
        <f>$Z126*(1+'FSS 805 Assumptions'!$E109)</f>
        <v>530.45000000000005</v>
      </c>
      <c r="AE126" s="65">
        <f>$Z126*(1+'FSS 805 Assumptions'!$E109)</f>
        <v>530.45000000000005</v>
      </c>
      <c r="AF126" s="65">
        <f>$Z126*(1+'FSS 805 Assumptions'!$E109)</f>
        <v>530.45000000000005</v>
      </c>
      <c r="AG126" s="65">
        <f>$Z126*(1+'FSS 805 Assumptions'!$E109)</f>
        <v>530.45000000000005</v>
      </c>
      <c r="AH126" s="65">
        <f>$Z126*(1+'FSS 805 Assumptions'!$E109)</f>
        <v>530.45000000000005</v>
      </c>
      <c r="AI126" s="65">
        <f>$Z126*(1+'FSS 805 Assumptions'!$E109)</f>
        <v>530.45000000000005</v>
      </c>
      <c r="AJ126" s="65">
        <f>$Z126*(1+'FSS 805 Assumptions'!$E109)</f>
        <v>530.45000000000005</v>
      </c>
      <c r="AK126" s="65">
        <f>$Z126*(1+'FSS 805 Assumptions'!$E109)</f>
        <v>530.45000000000005</v>
      </c>
      <c r="AL126" s="65">
        <f>$Z126*(1+'FSS 805 Assumptions'!$E109)</f>
        <v>530.45000000000005</v>
      </c>
      <c r="AM126" s="65">
        <f>$Z126*(1+'FSS 805 Assumptions'!$E109)</f>
        <v>530.45000000000005</v>
      </c>
      <c r="AN126" s="172">
        <f>AA126*(1+'FSS 805 Assumptions'!E109)</f>
        <v>6365.4000000000005</v>
      </c>
      <c r="AO126" s="65">
        <f>$AM126*(1+'FSS 805 Assumptions'!$F109)</f>
        <v>546.36350000000004</v>
      </c>
      <c r="AP126" s="65">
        <f>$AM126*(1+'FSS 805 Assumptions'!$F109)</f>
        <v>546.36350000000004</v>
      </c>
      <c r="AQ126" s="65">
        <f>$AM126*(1+'FSS 805 Assumptions'!$F109)</f>
        <v>546.36350000000004</v>
      </c>
      <c r="AR126" s="65">
        <f>$AM126*(1+'FSS 805 Assumptions'!$F109)</f>
        <v>546.36350000000004</v>
      </c>
      <c r="AS126" s="65">
        <f>$AM126*(1+'FSS 805 Assumptions'!$F109)</f>
        <v>546.36350000000004</v>
      </c>
      <c r="AT126" s="65">
        <f>$AM126*(1+'FSS 805 Assumptions'!$F109)</f>
        <v>546.36350000000004</v>
      </c>
      <c r="AU126" s="65">
        <f>$AM126*(1+'FSS 805 Assumptions'!$F109)</f>
        <v>546.36350000000004</v>
      </c>
      <c r="AV126" s="65">
        <f>$AM126*(1+'FSS 805 Assumptions'!$F109)</f>
        <v>546.36350000000004</v>
      </c>
      <c r="AW126" s="65">
        <f>$AM126*(1+'FSS 805 Assumptions'!$F109)</f>
        <v>546.36350000000004</v>
      </c>
      <c r="AX126" s="65">
        <f>$AM126*(1+'FSS 805 Assumptions'!$F109)</f>
        <v>546.36350000000004</v>
      </c>
      <c r="AY126" s="65">
        <f>$AM126*(1+'FSS 805 Assumptions'!$F109)</f>
        <v>546.36350000000004</v>
      </c>
      <c r="AZ126" s="65">
        <f>$AM126*(1+'FSS 805 Assumptions'!$F109)</f>
        <v>546.36350000000004</v>
      </c>
      <c r="BA126" s="59">
        <f t="shared" si="61"/>
        <v>6556.3620000000019</v>
      </c>
      <c r="BB126" s="172">
        <f>BA126*(1+'FSS 805 Assumptions'!G109)</f>
        <v>6753.0528600000025</v>
      </c>
    </row>
    <row r="127" spans="1:54" x14ac:dyDescent="0.2">
      <c r="A127" s="76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160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132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191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191"/>
      <c r="BB127" s="191"/>
    </row>
    <row r="128" spans="1:54" s="95" customFormat="1" collapsed="1" x14ac:dyDescent="0.2">
      <c r="A128" s="74" t="s">
        <v>74</v>
      </c>
      <c r="B128" s="94">
        <f t="shared" ref="B128:AG128" si="64">SUM(B118:B127)</f>
        <v>19465</v>
      </c>
      <c r="C128" s="94">
        <f t="shared" si="64"/>
        <v>19465</v>
      </c>
      <c r="D128" s="94">
        <f t="shared" si="64"/>
        <v>19465</v>
      </c>
      <c r="E128" s="94">
        <f t="shared" si="64"/>
        <v>19465</v>
      </c>
      <c r="F128" s="94">
        <f t="shared" si="64"/>
        <v>19465</v>
      </c>
      <c r="G128" s="94">
        <f t="shared" si="64"/>
        <v>19465</v>
      </c>
      <c r="H128" s="94">
        <f t="shared" si="64"/>
        <v>19465</v>
      </c>
      <c r="I128" s="94">
        <f t="shared" si="64"/>
        <v>19465</v>
      </c>
      <c r="J128" s="94">
        <f t="shared" si="64"/>
        <v>19465</v>
      </c>
      <c r="K128" s="94">
        <f t="shared" si="64"/>
        <v>19465</v>
      </c>
      <c r="L128" s="94">
        <f t="shared" si="64"/>
        <v>19465</v>
      </c>
      <c r="M128" s="94">
        <f t="shared" si="64"/>
        <v>19465</v>
      </c>
      <c r="N128" s="94">
        <f t="shared" si="64"/>
        <v>233580</v>
      </c>
      <c r="O128" s="94">
        <f t="shared" si="64"/>
        <v>20033.95</v>
      </c>
      <c r="P128" s="94">
        <f t="shared" si="64"/>
        <v>20033.95</v>
      </c>
      <c r="Q128" s="94">
        <f t="shared" si="64"/>
        <v>20033.95</v>
      </c>
      <c r="R128" s="94">
        <f t="shared" si="64"/>
        <v>20033.95</v>
      </c>
      <c r="S128" s="94">
        <f t="shared" si="64"/>
        <v>20033.95</v>
      </c>
      <c r="T128" s="94">
        <f t="shared" si="64"/>
        <v>20033.95</v>
      </c>
      <c r="U128" s="94">
        <f t="shared" si="64"/>
        <v>20033.95</v>
      </c>
      <c r="V128" s="94">
        <f t="shared" si="64"/>
        <v>20033.95</v>
      </c>
      <c r="W128" s="94">
        <f t="shared" si="64"/>
        <v>20033.95</v>
      </c>
      <c r="X128" s="94">
        <f t="shared" si="64"/>
        <v>20033.95</v>
      </c>
      <c r="Y128" s="94">
        <f t="shared" si="64"/>
        <v>20033.95</v>
      </c>
      <c r="Z128" s="94">
        <f t="shared" si="64"/>
        <v>20033.95</v>
      </c>
      <c r="AA128" s="94">
        <f t="shared" si="64"/>
        <v>240407.4</v>
      </c>
      <c r="AB128" s="94">
        <f t="shared" si="64"/>
        <v>20619.968499999995</v>
      </c>
      <c r="AC128" s="94">
        <f t="shared" si="64"/>
        <v>20619.968499999995</v>
      </c>
      <c r="AD128" s="94">
        <f t="shared" si="64"/>
        <v>20619.968499999995</v>
      </c>
      <c r="AE128" s="94">
        <f t="shared" si="64"/>
        <v>20619.968499999995</v>
      </c>
      <c r="AF128" s="94">
        <f t="shared" si="64"/>
        <v>20619.968499999995</v>
      </c>
      <c r="AG128" s="94">
        <f t="shared" si="64"/>
        <v>20619.968499999995</v>
      </c>
      <c r="AH128" s="94">
        <f t="shared" ref="AH128:BB128" si="65">SUM(AH118:AH127)</f>
        <v>20619.968499999995</v>
      </c>
      <c r="AI128" s="94">
        <f t="shared" si="65"/>
        <v>20619.968499999995</v>
      </c>
      <c r="AJ128" s="94">
        <f t="shared" si="65"/>
        <v>20619.968499999995</v>
      </c>
      <c r="AK128" s="94">
        <f t="shared" si="65"/>
        <v>20619.968499999995</v>
      </c>
      <c r="AL128" s="94">
        <f t="shared" si="65"/>
        <v>20619.968499999995</v>
      </c>
      <c r="AM128" s="94">
        <f t="shared" si="65"/>
        <v>20619.968499999995</v>
      </c>
      <c r="AN128" s="94">
        <f t="shared" si="65"/>
        <v>247439.622</v>
      </c>
      <c r="AO128" s="94">
        <f t="shared" si="65"/>
        <v>21223.567555000001</v>
      </c>
      <c r="AP128" s="94">
        <f t="shared" si="65"/>
        <v>21223.567555000001</v>
      </c>
      <c r="AQ128" s="94">
        <f t="shared" si="65"/>
        <v>21223.567555000001</v>
      </c>
      <c r="AR128" s="94">
        <f t="shared" si="65"/>
        <v>21223.567555000001</v>
      </c>
      <c r="AS128" s="94">
        <f t="shared" si="65"/>
        <v>21223.567555000001</v>
      </c>
      <c r="AT128" s="94">
        <f t="shared" si="65"/>
        <v>21223.567555000001</v>
      </c>
      <c r="AU128" s="94">
        <f t="shared" si="65"/>
        <v>21223.567555000001</v>
      </c>
      <c r="AV128" s="94">
        <f t="shared" si="65"/>
        <v>21223.567555000001</v>
      </c>
      <c r="AW128" s="94">
        <f t="shared" si="65"/>
        <v>21223.567555000001</v>
      </c>
      <c r="AX128" s="94">
        <f t="shared" si="65"/>
        <v>21223.567555000001</v>
      </c>
      <c r="AY128" s="94">
        <f t="shared" si="65"/>
        <v>21223.567555000001</v>
      </c>
      <c r="AZ128" s="94">
        <f t="shared" si="65"/>
        <v>21223.567555000001</v>
      </c>
      <c r="BA128" s="94">
        <f t="shared" si="65"/>
        <v>254682.81066000002</v>
      </c>
      <c r="BB128" s="94">
        <f t="shared" si="65"/>
        <v>262143.29497979998</v>
      </c>
    </row>
    <row r="129" spans="1:60" x14ac:dyDescent="0.2">
      <c r="A129" s="7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4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172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172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172"/>
      <c r="BB129" s="172"/>
    </row>
    <row r="130" spans="1:60" x14ac:dyDescent="0.2">
      <c r="A130" s="74" t="s">
        <v>246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4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172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172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172"/>
      <c r="BB130" s="172"/>
    </row>
    <row r="131" spans="1:60" x14ac:dyDescent="0.2">
      <c r="A131" s="76" t="s">
        <v>420</v>
      </c>
      <c r="B131" s="65">
        <f>B31*'FSS 805 Assumptions'!$B$112</f>
        <v>324</v>
      </c>
      <c r="C131" s="65">
        <f>C31*'FSS 805 Assumptions'!$B$112</f>
        <v>324</v>
      </c>
      <c r="D131" s="65">
        <f>D31*'FSS 805 Assumptions'!$B$112</f>
        <v>324</v>
      </c>
      <c r="E131" s="65">
        <f>E31*'FSS 805 Assumptions'!$B$112</f>
        <v>1367.722</v>
      </c>
      <c r="F131" s="65">
        <f>F31*'FSS 805 Assumptions'!$B$112</f>
        <v>2647.7219999999998</v>
      </c>
      <c r="G131" s="65">
        <f>G31*'FSS 805 Assumptions'!$B$112</f>
        <v>3855.444</v>
      </c>
      <c r="H131" s="65">
        <f>H31*'FSS 805 Assumptions'!$B$112</f>
        <v>5110.6099999999997</v>
      </c>
      <c r="I131" s="65">
        <f>I31*'FSS 805 Assumptions'!$B$112</f>
        <v>13120.289999999999</v>
      </c>
      <c r="J131" s="65">
        <f>J31*'FSS 805 Assumptions'!$B$112</f>
        <v>21427.532999999999</v>
      </c>
      <c r="K131" s="65">
        <f>K31*'FSS 805 Assumptions'!$B$112</f>
        <v>22255.532999999999</v>
      </c>
      <c r="L131" s="65">
        <f>L31*'FSS 805 Assumptions'!$B$112</f>
        <v>22255.532999999999</v>
      </c>
      <c r="M131" s="65">
        <f>M31*'FSS 805 Assumptions'!$B$112</f>
        <v>23154.281999999999</v>
      </c>
      <c r="N131" s="156">
        <f t="shared" ref="N131" si="66">SUM(B131:M131)</f>
        <v>116166.66899999999</v>
      </c>
      <c r="O131" s="65">
        <f>O31*'FSS 805 Assumptions'!$B$112</f>
        <v>23154.281999999999</v>
      </c>
      <c r="P131" s="65">
        <f>P31*'FSS 805 Assumptions'!$B$112</f>
        <v>24025.482</v>
      </c>
      <c r="Q131" s="65">
        <f>Q31*'FSS 805 Assumptions'!$B$112</f>
        <v>24421.482</v>
      </c>
      <c r="R131" s="65">
        <f>R31*'FSS 805 Assumptions'!$B$112</f>
        <v>24817.482</v>
      </c>
      <c r="S131" s="65">
        <f>S31*'FSS 805 Assumptions'!$B$112</f>
        <v>25213.482</v>
      </c>
      <c r="T131" s="65">
        <f>T31*'FSS 805 Assumptions'!$B$112</f>
        <v>25609.482</v>
      </c>
      <c r="U131" s="65">
        <f>U31*'FSS 805 Assumptions'!$B$112</f>
        <v>26005.482</v>
      </c>
      <c r="V131" s="65">
        <f>V31*'FSS 805 Assumptions'!$B$112</f>
        <v>26401.482</v>
      </c>
      <c r="W131" s="65">
        <f>W31*'FSS 805 Assumptions'!$B$112</f>
        <v>26797.482</v>
      </c>
      <c r="X131" s="65">
        <f>X31*'FSS 805 Assumptions'!$B$112</f>
        <v>27193.482</v>
      </c>
      <c r="Y131" s="65">
        <f>Y31*'FSS 805 Assumptions'!$B$112</f>
        <v>27193.482</v>
      </c>
      <c r="Z131" s="65">
        <f>Z31*'FSS 805 Assumptions'!$B$112</f>
        <v>27193.482</v>
      </c>
      <c r="AA131" s="59">
        <f t="shared" ref="AA131" si="67">SUM(O131:Z131)</f>
        <v>308026.58399999997</v>
      </c>
      <c r="AB131" s="65">
        <f>AB31*'FSS 805 Assumptions'!$B$112</f>
        <v>28009.286459999999</v>
      </c>
      <c r="AC131" s="65">
        <f>AC31*'FSS 805 Assumptions'!$B$112</f>
        <v>28009.286459999999</v>
      </c>
      <c r="AD131" s="65">
        <f>AD31*'FSS 805 Assumptions'!$B$112</f>
        <v>28009.286459999999</v>
      </c>
      <c r="AE131" s="65">
        <f>AE31*'FSS 805 Assumptions'!$B$112</f>
        <v>28009.286459999999</v>
      </c>
      <c r="AF131" s="65">
        <f>AF31*'FSS 805 Assumptions'!$B$112</f>
        <v>28009.286459999999</v>
      </c>
      <c r="AG131" s="65">
        <f>AG31*'FSS 805 Assumptions'!$B$112</f>
        <v>28009.286459999999</v>
      </c>
      <c r="AH131" s="65">
        <f>AH31*'FSS 805 Assumptions'!$B$112</f>
        <v>28009.286459999999</v>
      </c>
      <c r="AI131" s="65">
        <f>AI31*'FSS 805 Assumptions'!$B$112</f>
        <v>28009.286459999999</v>
      </c>
      <c r="AJ131" s="65">
        <f>AJ31*'FSS 805 Assumptions'!$B$112</f>
        <v>28009.286459999999</v>
      </c>
      <c r="AK131" s="65">
        <f>AK31*'FSS 805 Assumptions'!$B$112</f>
        <v>28009.286459999999</v>
      </c>
      <c r="AL131" s="65">
        <f>AL31*'FSS 805 Assumptions'!$B$112</f>
        <v>28009.286459999999</v>
      </c>
      <c r="AM131" s="65">
        <f>AM31*'FSS 805 Assumptions'!$B$112</f>
        <v>28009.286459999999</v>
      </c>
      <c r="AN131" s="172">
        <f>AA131*(1+'FSS 805 Assumptions'!E114)</f>
        <v>308026.58399999997</v>
      </c>
      <c r="AO131" s="65">
        <f>AO31*'FSS 805 Assumptions'!$B$112</f>
        <v>28849.565053800001</v>
      </c>
      <c r="AP131" s="65">
        <f>AP31*'FSS 805 Assumptions'!$B$112</f>
        <v>28849.565053800001</v>
      </c>
      <c r="AQ131" s="65">
        <f>AQ31*'FSS 805 Assumptions'!$B$112</f>
        <v>28849.565053800001</v>
      </c>
      <c r="AR131" s="65">
        <f>AR31*'FSS 805 Assumptions'!$B$112</f>
        <v>28849.565053800001</v>
      </c>
      <c r="AS131" s="65">
        <f>AS31*'FSS 805 Assumptions'!$B$112</f>
        <v>28849.565053800001</v>
      </c>
      <c r="AT131" s="65">
        <f>AT31*'FSS 805 Assumptions'!$B$112</f>
        <v>28849.565053800001</v>
      </c>
      <c r="AU131" s="65">
        <f>AU31*'FSS 805 Assumptions'!$B$112</f>
        <v>28849.565053800001</v>
      </c>
      <c r="AV131" s="65">
        <f>AV31*'FSS 805 Assumptions'!$B$112</f>
        <v>28849.565053800001</v>
      </c>
      <c r="AW131" s="65">
        <f>AW31*'FSS 805 Assumptions'!$B$112</f>
        <v>28849.565053800001</v>
      </c>
      <c r="AX131" s="65">
        <f>AX31*'FSS 805 Assumptions'!$B$112</f>
        <v>28849.565053800001</v>
      </c>
      <c r="AY131" s="65">
        <f>AY31*'FSS 805 Assumptions'!$B$112</f>
        <v>28849.565053800001</v>
      </c>
      <c r="AZ131" s="65">
        <f>AZ31*'FSS 805 Assumptions'!$B$112</f>
        <v>28849.565053800001</v>
      </c>
      <c r="BA131" s="59">
        <f t="shared" ref="BA131" si="68">SUM(AO131:AZ131)</f>
        <v>346194.7806456</v>
      </c>
      <c r="BB131" s="59">
        <f>BB31*'FSS 805 Assumptions'!$B$112</f>
        <v>356580.62406496803</v>
      </c>
    </row>
    <row r="132" spans="1:60" x14ac:dyDescent="0.2">
      <c r="A132" s="76" t="s">
        <v>245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158">
        <f t="shared" ref="N132:N133" si="69">SUM(B132:M132)</f>
        <v>0</v>
      </c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59">
        <f>SUM(O132:Z132)</f>
        <v>0</v>
      </c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172">
        <f>AA132*(1+'FSS 805 Assumptions'!E116)</f>
        <v>0</v>
      </c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59">
        <f t="shared" ref="BA132:BA133" si="70">SUM(AO132:AZ132)</f>
        <v>0</v>
      </c>
      <c r="BB132" s="172">
        <f>BA132*(1+'FSS 805 Assumptions'!G116)</f>
        <v>0</v>
      </c>
    </row>
    <row r="133" spans="1:60" x14ac:dyDescent="0.2">
      <c r="A133" s="76" t="s">
        <v>554</v>
      </c>
      <c r="B133" s="65">
        <f>'FSS 805 Assumptions'!$B$117</f>
        <v>0</v>
      </c>
      <c r="C133" s="65">
        <f>'FSS 805 Assumptions'!$B$117</f>
        <v>0</v>
      </c>
      <c r="D133" s="65">
        <f>'FSS 805 Assumptions'!$B$117</f>
        <v>0</v>
      </c>
      <c r="E133" s="65">
        <f>'FSS 805 Assumptions'!$B$117</f>
        <v>0</v>
      </c>
      <c r="F133" s="65">
        <f>'FSS 805 Assumptions'!$B$117</f>
        <v>0</v>
      </c>
      <c r="G133" s="65">
        <f>'FSS 805 Assumptions'!$B$117</f>
        <v>0</v>
      </c>
      <c r="H133" s="65">
        <f>'FSS 805 Assumptions'!$B$117</f>
        <v>0</v>
      </c>
      <c r="I133" s="65">
        <f>'FSS 805 Assumptions'!$B$117</f>
        <v>0</v>
      </c>
      <c r="J133" s="65">
        <f>'FSS 805 Assumptions'!$B$117</f>
        <v>0</v>
      </c>
      <c r="K133" s="65">
        <f>'FSS 805 Assumptions'!$B$117</f>
        <v>0</v>
      </c>
      <c r="L133" s="65">
        <f>'FSS 805 Assumptions'!$B$117</f>
        <v>0</v>
      </c>
      <c r="M133" s="65">
        <f>'FSS 805 Assumptions'!$B$117</f>
        <v>0</v>
      </c>
      <c r="N133" s="158">
        <f t="shared" si="69"/>
        <v>0</v>
      </c>
      <c r="O133" s="65">
        <f>$M133*(1+'FSS 805 Assumptions'!$D$117)</f>
        <v>0</v>
      </c>
      <c r="P133" s="65">
        <f>$M133*(1+'FSS 805 Assumptions'!$D$117)</f>
        <v>0</v>
      </c>
      <c r="Q133" s="65">
        <f>$M133*(1+'FSS 805 Assumptions'!$D$117)</f>
        <v>0</v>
      </c>
      <c r="R133" s="65">
        <f>$M133*(1+'FSS 805 Assumptions'!$D$117)</f>
        <v>0</v>
      </c>
      <c r="S133" s="65">
        <f>$M133*(1+'FSS 805 Assumptions'!$D$117)</f>
        <v>0</v>
      </c>
      <c r="T133" s="65">
        <f>$M133*(1+'FSS 805 Assumptions'!$D$117)</f>
        <v>0</v>
      </c>
      <c r="U133" s="65">
        <f>$M133*(1+'FSS 805 Assumptions'!$D$117)</f>
        <v>0</v>
      </c>
      <c r="V133" s="65">
        <f>$M133*(1+'FSS 805 Assumptions'!$D$117)</f>
        <v>0</v>
      </c>
      <c r="W133" s="65">
        <f>$M133*(1+'FSS 805 Assumptions'!$D$117)</f>
        <v>0</v>
      </c>
      <c r="X133" s="65">
        <f>$M133*(1+'FSS 805 Assumptions'!$D$117)</f>
        <v>0</v>
      </c>
      <c r="Y133" s="65">
        <f>$M133*(1+'FSS 805 Assumptions'!$D$117)</f>
        <v>0</v>
      </c>
      <c r="Z133" s="65">
        <f>$M133*(1+'FSS 805 Assumptions'!$D$117)</f>
        <v>0</v>
      </c>
      <c r="AA133" s="59">
        <f>SUM(O133:Z133)</f>
        <v>0</v>
      </c>
      <c r="AB133" s="65">
        <f>$Z133*(1+'FSS 805 Assumptions'!$E$117)</f>
        <v>0</v>
      </c>
      <c r="AC133" s="65">
        <f>$Z133*(1+'FSS 805 Assumptions'!$E$117)</f>
        <v>0</v>
      </c>
      <c r="AD133" s="65">
        <f>$Z133*(1+'FSS 805 Assumptions'!$E$117)</f>
        <v>0</v>
      </c>
      <c r="AE133" s="65">
        <f>$Z133*(1+'FSS 805 Assumptions'!$E$117)</f>
        <v>0</v>
      </c>
      <c r="AF133" s="65">
        <f>$Z133*(1+'FSS 805 Assumptions'!$E$117)</f>
        <v>0</v>
      </c>
      <c r="AG133" s="65">
        <f>$Z133*(1+'FSS 805 Assumptions'!$E$117)</f>
        <v>0</v>
      </c>
      <c r="AH133" s="65">
        <f>$Z133*(1+'FSS 805 Assumptions'!$E$117)</f>
        <v>0</v>
      </c>
      <c r="AI133" s="65">
        <f>$Z133*(1+'FSS 805 Assumptions'!$E$117)</f>
        <v>0</v>
      </c>
      <c r="AJ133" s="65">
        <f>$Z133*(1+'FSS 805 Assumptions'!$E$117)</f>
        <v>0</v>
      </c>
      <c r="AK133" s="65">
        <f>$Z133*(1+'FSS 805 Assumptions'!$E$117)</f>
        <v>0</v>
      </c>
      <c r="AL133" s="65">
        <f>$Z133*(1+'FSS 805 Assumptions'!$E$117)</f>
        <v>0</v>
      </c>
      <c r="AM133" s="65">
        <f>$Z133*(1+'FSS 805 Assumptions'!$E$117)</f>
        <v>0</v>
      </c>
      <c r="AN133" s="172">
        <f>AA133*(1+'FSS 805 Assumptions'!E118)</f>
        <v>0</v>
      </c>
      <c r="AO133" s="65">
        <f>$AM133*(1+'FSS 805 Assumptions'!$F$117)</f>
        <v>0</v>
      </c>
      <c r="AP133" s="65">
        <f>$AM133*(1+'FSS 805 Assumptions'!$F$117)</f>
        <v>0</v>
      </c>
      <c r="AQ133" s="65">
        <f>$AM133*(1+'FSS 805 Assumptions'!$F$117)</f>
        <v>0</v>
      </c>
      <c r="AR133" s="65">
        <f>$AM133*(1+'FSS 805 Assumptions'!$F$117)</f>
        <v>0</v>
      </c>
      <c r="AS133" s="65">
        <f>$AM133*(1+'FSS 805 Assumptions'!$F$117)</f>
        <v>0</v>
      </c>
      <c r="AT133" s="65">
        <f>$AM133*(1+'FSS 805 Assumptions'!$F$117)</f>
        <v>0</v>
      </c>
      <c r="AU133" s="65">
        <f>$AM133*(1+'FSS 805 Assumptions'!$F$117)</f>
        <v>0</v>
      </c>
      <c r="AV133" s="65">
        <f>$AM133*(1+'FSS 805 Assumptions'!$F$117)</f>
        <v>0</v>
      </c>
      <c r="AW133" s="65">
        <f>$AM133*(1+'FSS 805 Assumptions'!$F$117)</f>
        <v>0</v>
      </c>
      <c r="AX133" s="65">
        <f>$AM133*(1+'FSS 805 Assumptions'!$F$117)</f>
        <v>0</v>
      </c>
      <c r="AY133" s="65">
        <f>$AM133*(1+'FSS 805 Assumptions'!$F$117)</f>
        <v>0</v>
      </c>
      <c r="AZ133" s="65">
        <f>$AM133*(1+'FSS 805 Assumptions'!$F$117)</f>
        <v>0</v>
      </c>
      <c r="BA133" s="59">
        <f t="shared" si="70"/>
        <v>0</v>
      </c>
      <c r="BB133" s="172">
        <f>BA133*(1+'FSS 805 Assumptions'!G118)</f>
        <v>0</v>
      </c>
    </row>
    <row r="134" spans="1:60" x14ac:dyDescent="0.2">
      <c r="A134" s="76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158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132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191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191"/>
      <c r="BB134" s="191"/>
    </row>
    <row r="135" spans="1:60" s="95" customFormat="1" collapsed="1" x14ac:dyDescent="0.2">
      <c r="A135" s="74" t="s">
        <v>247</v>
      </c>
      <c r="B135" s="97">
        <f t="shared" ref="B135:AG135" si="71">SUM(B130:B134)</f>
        <v>324</v>
      </c>
      <c r="C135" s="97">
        <f t="shared" si="71"/>
        <v>324</v>
      </c>
      <c r="D135" s="97">
        <f t="shared" si="71"/>
        <v>324</v>
      </c>
      <c r="E135" s="97">
        <f t="shared" si="71"/>
        <v>1367.722</v>
      </c>
      <c r="F135" s="97">
        <f t="shared" si="71"/>
        <v>2647.7219999999998</v>
      </c>
      <c r="G135" s="97">
        <f t="shared" si="71"/>
        <v>3855.444</v>
      </c>
      <c r="H135" s="97">
        <f t="shared" si="71"/>
        <v>5110.6099999999997</v>
      </c>
      <c r="I135" s="97">
        <f t="shared" si="71"/>
        <v>13120.289999999999</v>
      </c>
      <c r="J135" s="97">
        <f t="shared" si="71"/>
        <v>21427.532999999999</v>
      </c>
      <c r="K135" s="97">
        <f t="shared" si="71"/>
        <v>22255.532999999999</v>
      </c>
      <c r="L135" s="97">
        <f t="shared" si="71"/>
        <v>22255.532999999999</v>
      </c>
      <c r="M135" s="97">
        <f t="shared" si="71"/>
        <v>23154.281999999999</v>
      </c>
      <c r="N135" s="97">
        <f t="shared" si="71"/>
        <v>116166.66899999999</v>
      </c>
      <c r="O135" s="97">
        <f t="shared" si="71"/>
        <v>23154.281999999999</v>
      </c>
      <c r="P135" s="97">
        <f t="shared" si="71"/>
        <v>24025.482</v>
      </c>
      <c r="Q135" s="97">
        <f t="shared" si="71"/>
        <v>24421.482</v>
      </c>
      <c r="R135" s="97">
        <f t="shared" si="71"/>
        <v>24817.482</v>
      </c>
      <c r="S135" s="97">
        <f t="shared" si="71"/>
        <v>25213.482</v>
      </c>
      <c r="T135" s="97">
        <f t="shared" si="71"/>
        <v>25609.482</v>
      </c>
      <c r="U135" s="97">
        <f t="shared" si="71"/>
        <v>26005.482</v>
      </c>
      <c r="V135" s="97">
        <f t="shared" si="71"/>
        <v>26401.482</v>
      </c>
      <c r="W135" s="97">
        <f t="shared" si="71"/>
        <v>26797.482</v>
      </c>
      <c r="X135" s="97">
        <f t="shared" si="71"/>
        <v>27193.482</v>
      </c>
      <c r="Y135" s="97">
        <f t="shared" si="71"/>
        <v>27193.482</v>
      </c>
      <c r="Z135" s="97">
        <f t="shared" si="71"/>
        <v>27193.482</v>
      </c>
      <c r="AA135" s="97">
        <f t="shared" si="71"/>
        <v>308026.58399999997</v>
      </c>
      <c r="AB135" s="97">
        <f t="shared" si="71"/>
        <v>28009.286459999999</v>
      </c>
      <c r="AC135" s="97">
        <f t="shared" si="71"/>
        <v>28009.286459999999</v>
      </c>
      <c r="AD135" s="97">
        <f t="shared" si="71"/>
        <v>28009.286459999999</v>
      </c>
      <c r="AE135" s="97">
        <f t="shared" si="71"/>
        <v>28009.286459999999</v>
      </c>
      <c r="AF135" s="97">
        <f t="shared" si="71"/>
        <v>28009.286459999999</v>
      </c>
      <c r="AG135" s="97">
        <f t="shared" si="71"/>
        <v>28009.286459999999</v>
      </c>
      <c r="AH135" s="97">
        <f t="shared" ref="AH135:BB135" si="72">SUM(AH130:AH134)</f>
        <v>28009.286459999999</v>
      </c>
      <c r="AI135" s="97">
        <f t="shared" si="72"/>
        <v>28009.286459999999</v>
      </c>
      <c r="AJ135" s="97">
        <f t="shared" si="72"/>
        <v>28009.286459999999</v>
      </c>
      <c r="AK135" s="97">
        <f t="shared" si="72"/>
        <v>28009.286459999999</v>
      </c>
      <c r="AL135" s="97">
        <f t="shared" si="72"/>
        <v>28009.286459999999</v>
      </c>
      <c r="AM135" s="97">
        <f t="shared" si="72"/>
        <v>28009.286459999999</v>
      </c>
      <c r="AN135" s="97">
        <f t="shared" si="72"/>
        <v>308026.58399999997</v>
      </c>
      <c r="AO135" s="97">
        <f t="shared" si="72"/>
        <v>28849.565053800001</v>
      </c>
      <c r="AP135" s="97">
        <f t="shared" si="72"/>
        <v>28849.565053800001</v>
      </c>
      <c r="AQ135" s="97">
        <f t="shared" si="72"/>
        <v>28849.565053800001</v>
      </c>
      <c r="AR135" s="97">
        <f t="shared" si="72"/>
        <v>28849.565053800001</v>
      </c>
      <c r="AS135" s="97">
        <f t="shared" si="72"/>
        <v>28849.565053800001</v>
      </c>
      <c r="AT135" s="97">
        <f t="shared" si="72"/>
        <v>28849.565053800001</v>
      </c>
      <c r="AU135" s="97">
        <f t="shared" si="72"/>
        <v>28849.565053800001</v>
      </c>
      <c r="AV135" s="97">
        <f t="shared" si="72"/>
        <v>28849.565053800001</v>
      </c>
      <c r="AW135" s="97">
        <f t="shared" si="72"/>
        <v>28849.565053800001</v>
      </c>
      <c r="AX135" s="97">
        <f t="shared" si="72"/>
        <v>28849.565053800001</v>
      </c>
      <c r="AY135" s="97">
        <f t="shared" si="72"/>
        <v>28849.565053800001</v>
      </c>
      <c r="AZ135" s="97">
        <f t="shared" si="72"/>
        <v>28849.565053800001</v>
      </c>
      <c r="BA135" s="97">
        <f t="shared" si="72"/>
        <v>346194.7806456</v>
      </c>
      <c r="BB135" s="97">
        <f t="shared" si="72"/>
        <v>356580.62406496803</v>
      </c>
    </row>
    <row r="136" spans="1:60" s="95" customFormat="1" x14ac:dyDescent="0.2">
      <c r="A136" s="7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</row>
    <row r="137" spans="1:60" s="95" customFormat="1" x14ac:dyDescent="0.2">
      <c r="A137" s="74" t="s">
        <v>254</v>
      </c>
      <c r="B137" s="148">
        <f t="shared" ref="B137:AG137" si="73">SUM(B34:B136)/2</f>
        <v>177122.36805555556</v>
      </c>
      <c r="C137" s="148">
        <f t="shared" si="73"/>
        <v>177122.36805555556</v>
      </c>
      <c r="D137" s="148">
        <f t="shared" si="73"/>
        <v>177122.36805555556</v>
      </c>
      <c r="E137" s="148">
        <f t="shared" si="73"/>
        <v>178166.09005555557</v>
      </c>
      <c r="F137" s="148">
        <f t="shared" si="73"/>
        <v>180898.06505555555</v>
      </c>
      <c r="G137" s="148">
        <f t="shared" si="73"/>
        <v>189249.8370555556</v>
      </c>
      <c r="H137" s="148">
        <f t="shared" si="73"/>
        <v>191305.92805555556</v>
      </c>
      <c r="I137" s="148">
        <f t="shared" si="73"/>
        <v>205167.60805555555</v>
      </c>
      <c r="J137" s="148">
        <f t="shared" si="73"/>
        <v>219522.06355555559</v>
      </c>
      <c r="K137" s="148">
        <f t="shared" si="73"/>
        <v>220856.31355555559</v>
      </c>
      <c r="L137" s="148">
        <f t="shared" si="73"/>
        <v>220856.31355555559</v>
      </c>
      <c r="M137" s="148">
        <f t="shared" si="73"/>
        <v>222416.45005555556</v>
      </c>
      <c r="N137" s="148">
        <f t="shared" si="73"/>
        <v>2359805.7731666663</v>
      </c>
      <c r="O137" s="148">
        <f t="shared" si="73"/>
        <v>229650.44445833331</v>
      </c>
      <c r="P137" s="148">
        <f t="shared" si="73"/>
        <v>231189.89445833332</v>
      </c>
      <c r="Q137" s="148">
        <f t="shared" si="73"/>
        <v>231889.64445833332</v>
      </c>
      <c r="R137" s="148">
        <f t="shared" si="73"/>
        <v>232589.39445833332</v>
      </c>
      <c r="S137" s="148">
        <f t="shared" si="73"/>
        <v>233289.14445833332</v>
      </c>
      <c r="T137" s="148">
        <f t="shared" si="73"/>
        <v>233988.89445833332</v>
      </c>
      <c r="U137" s="148">
        <f t="shared" si="73"/>
        <v>234688.64445833332</v>
      </c>
      <c r="V137" s="148">
        <f t="shared" si="73"/>
        <v>235388.39445833332</v>
      </c>
      <c r="W137" s="148">
        <f t="shared" si="73"/>
        <v>236088.14445833332</v>
      </c>
      <c r="X137" s="148">
        <f t="shared" si="73"/>
        <v>236787.89445833332</v>
      </c>
      <c r="Y137" s="148">
        <f t="shared" si="73"/>
        <v>236787.89445833332</v>
      </c>
      <c r="Z137" s="148">
        <f t="shared" si="73"/>
        <v>236787.89445833332</v>
      </c>
      <c r="AA137" s="148">
        <f t="shared" si="73"/>
        <v>2809126.2835000004</v>
      </c>
      <c r="AB137" s="148">
        <f t="shared" si="73"/>
        <v>246327.84645875005</v>
      </c>
      <c r="AC137" s="148">
        <f t="shared" si="73"/>
        <v>246327.84645875005</v>
      </c>
      <c r="AD137" s="148">
        <f t="shared" si="73"/>
        <v>246327.84645875005</v>
      </c>
      <c r="AE137" s="148">
        <f t="shared" si="73"/>
        <v>246327.84645875005</v>
      </c>
      <c r="AF137" s="148">
        <f t="shared" si="73"/>
        <v>246327.84645875005</v>
      </c>
      <c r="AG137" s="148">
        <f t="shared" si="73"/>
        <v>246327.84645875005</v>
      </c>
      <c r="AH137" s="148">
        <f t="shared" ref="AH137:BM137" si="74">SUM(AH34:AH136)/2</f>
        <v>246327.84645875005</v>
      </c>
      <c r="AI137" s="148">
        <f t="shared" si="74"/>
        <v>246327.84645875005</v>
      </c>
      <c r="AJ137" s="148">
        <f t="shared" si="74"/>
        <v>246327.84645875005</v>
      </c>
      <c r="AK137" s="148">
        <f t="shared" si="74"/>
        <v>246327.84645875005</v>
      </c>
      <c r="AL137" s="148">
        <f t="shared" si="74"/>
        <v>246327.84645875005</v>
      </c>
      <c r="AM137" s="148">
        <f t="shared" si="74"/>
        <v>246327.84645875005</v>
      </c>
      <c r="AN137" s="148">
        <f t="shared" si="74"/>
        <v>2913311.1854849998</v>
      </c>
      <c r="AO137" s="148">
        <f t="shared" si="74"/>
        <v>255523.97677751249</v>
      </c>
      <c r="AP137" s="148">
        <f t="shared" si="74"/>
        <v>255523.97677751249</v>
      </c>
      <c r="AQ137" s="148">
        <f t="shared" si="74"/>
        <v>255523.97677751249</v>
      </c>
      <c r="AR137" s="148">
        <f t="shared" si="74"/>
        <v>255523.97677751249</v>
      </c>
      <c r="AS137" s="148">
        <f t="shared" si="74"/>
        <v>255523.97677751249</v>
      </c>
      <c r="AT137" s="148">
        <f t="shared" si="74"/>
        <v>255523.97677751249</v>
      </c>
      <c r="AU137" s="148">
        <f t="shared" si="74"/>
        <v>255523.97677751249</v>
      </c>
      <c r="AV137" s="148">
        <f t="shared" si="74"/>
        <v>255523.97677751249</v>
      </c>
      <c r="AW137" s="148">
        <f t="shared" si="74"/>
        <v>255523.97677751249</v>
      </c>
      <c r="AX137" s="148">
        <f t="shared" si="74"/>
        <v>255523.97677751249</v>
      </c>
      <c r="AY137" s="148">
        <f t="shared" si="74"/>
        <v>255523.97677751249</v>
      </c>
      <c r="AZ137" s="148">
        <f t="shared" si="74"/>
        <v>255523.97677751249</v>
      </c>
      <c r="BA137" s="148">
        <f t="shared" si="74"/>
        <v>3066287.7213301482</v>
      </c>
      <c r="BB137" s="148">
        <f t="shared" si="74"/>
        <v>3215524.4636634178</v>
      </c>
    </row>
    <row r="138" spans="1:60" s="95" customFormat="1" x14ac:dyDescent="0.2">
      <c r="A138" s="7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</row>
    <row r="139" spans="1:60" s="88" customFormat="1" x14ac:dyDescent="0.2">
      <c r="A139" s="90" t="s">
        <v>270</v>
      </c>
      <c r="B139" s="81">
        <f t="shared" ref="B139:AG139" si="75">B31-B137</f>
        <v>-171722.36805555556</v>
      </c>
      <c r="C139" s="81">
        <f t="shared" si="75"/>
        <v>-171722.36805555556</v>
      </c>
      <c r="D139" s="81">
        <f t="shared" si="75"/>
        <v>-171722.36805555556</v>
      </c>
      <c r="E139" s="81">
        <f t="shared" si="75"/>
        <v>-155370.7233888889</v>
      </c>
      <c r="F139" s="81">
        <f t="shared" si="75"/>
        <v>-136769.36505555554</v>
      </c>
      <c r="G139" s="81">
        <f t="shared" si="75"/>
        <v>-124992.43705555561</v>
      </c>
      <c r="H139" s="81">
        <f t="shared" si="75"/>
        <v>-106129.09472222223</v>
      </c>
      <c r="I139" s="81">
        <f t="shared" si="75"/>
        <v>13503.891944444447</v>
      </c>
      <c r="J139" s="81">
        <f t="shared" si="75"/>
        <v>137603.4864444444</v>
      </c>
      <c r="K139" s="81">
        <f t="shared" si="75"/>
        <v>150069.2364444444</v>
      </c>
      <c r="L139" s="81">
        <f t="shared" si="75"/>
        <v>150069.2364444444</v>
      </c>
      <c r="M139" s="81">
        <f t="shared" si="75"/>
        <v>163488.24994444445</v>
      </c>
      <c r="N139" s="81">
        <f t="shared" si="75"/>
        <v>-423694.62316666637</v>
      </c>
      <c r="O139" s="81">
        <f t="shared" si="75"/>
        <v>156254.2555416667</v>
      </c>
      <c r="P139" s="81">
        <f t="shared" si="75"/>
        <v>169234.80554166669</v>
      </c>
      <c r="Q139" s="81">
        <f t="shared" si="75"/>
        <v>175135.05554166669</v>
      </c>
      <c r="R139" s="81">
        <f t="shared" si="75"/>
        <v>181035.30554166669</v>
      </c>
      <c r="S139" s="81">
        <f t="shared" si="75"/>
        <v>186935.55554166669</v>
      </c>
      <c r="T139" s="81">
        <f t="shared" si="75"/>
        <v>192835.80554166669</v>
      </c>
      <c r="U139" s="81">
        <f t="shared" si="75"/>
        <v>198736.05554166669</v>
      </c>
      <c r="V139" s="81">
        <f t="shared" si="75"/>
        <v>204636.30554166669</v>
      </c>
      <c r="W139" s="81">
        <f t="shared" si="75"/>
        <v>210536.55554166669</v>
      </c>
      <c r="X139" s="81">
        <f t="shared" si="75"/>
        <v>216436.80554166669</v>
      </c>
      <c r="Y139" s="81">
        <f t="shared" si="75"/>
        <v>216436.80554166669</v>
      </c>
      <c r="Z139" s="81">
        <f t="shared" si="75"/>
        <v>216436.80554166669</v>
      </c>
      <c r="AA139" s="81">
        <f t="shared" si="75"/>
        <v>2324650.1164999991</v>
      </c>
      <c r="AB139" s="81">
        <f t="shared" si="75"/>
        <v>220493.59454124994</v>
      </c>
      <c r="AC139" s="81">
        <f t="shared" si="75"/>
        <v>220493.59454124994</v>
      </c>
      <c r="AD139" s="81">
        <f t="shared" si="75"/>
        <v>220493.59454124994</v>
      </c>
      <c r="AE139" s="81">
        <f t="shared" si="75"/>
        <v>220493.59454124994</v>
      </c>
      <c r="AF139" s="81">
        <f t="shared" si="75"/>
        <v>220493.59454124994</v>
      </c>
      <c r="AG139" s="81">
        <f t="shared" si="75"/>
        <v>220493.59454124994</v>
      </c>
      <c r="AH139" s="81">
        <f t="shared" ref="AH139:BB139" si="76">AH31-AH137</f>
        <v>220493.59454124994</v>
      </c>
      <c r="AI139" s="81">
        <f t="shared" si="76"/>
        <v>220493.59454124994</v>
      </c>
      <c r="AJ139" s="81">
        <f t="shared" si="76"/>
        <v>220493.59454124994</v>
      </c>
      <c r="AK139" s="81">
        <f t="shared" si="76"/>
        <v>220493.59454124994</v>
      </c>
      <c r="AL139" s="81">
        <f t="shared" si="76"/>
        <v>220493.59454124994</v>
      </c>
      <c r="AM139" s="81">
        <f t="shared" si="76"/>
        <v>220493.59454124994</v>
      </c>
      <c r="AN139" s="81">
        <f t="shared" si="76"/>
        <v>2688546.1065150006</v>
      </c>
      <c r="AO139" s="81">
        <f t="shared" si="76"/>
        <v>225302.10745248754</v>
      </c>
      <c r="AP139" s="81">
        <f t="shared" si="76"/>
        <v>225302.10745248754</v>
      </c>
      <c r="AQ139" s="81">
        <f t="shared" si="76"/>
        <v>225302.10745248754</v>
      </c>
      <c r="AR139" s="81">
        <f t="shared" si="76"/>
        <v>225302.10745248754</v>
      </c>
      <c r="AS139" s="81">
        <f t="shared" si="76"/>
        <v>225302.10745248754</v>
      </c>
      <c r="AT139" s="81">
        <f t="shared" si="76"/>
        <v>225302.10745248754</v>
      </c>
      <c r="AU139" s="81">
        <f t="shared" si="76"/>
        <v>225302.10745248754</v>
      </c>
      <c r="AV139" s="81">
        <f t="shared" si="76"/>
        <v>225302.10745248754</v>
      </c>
      <c r="AW139" s="81">
        <f t="shared" si="76"/>
        <v>225302.10745248754</v>
      </c>
      <c r="AX139" s="81">
        <f t="shared" si="76"/>
        <v>225302.10745248754</v>
      </c>
      <c r="AY139" s="81">
        <f t="shared" si="76"/>
        <v>225302.10745248754</v>
      </c>
      <c r="AZ139" s="81">
        <f t="shared" si="76"/>
        <v>225302.10745248754</v>
      </c>
      <c r="BA139" s="81">
        <f t="shared" si="76"/>
        <v>2703625.2894298527</v>
      </c>
      <c r="BB139" s="81">
        <f t="shared" si="76"/>
        <v>2727485.9374193829</v>
      </c>
      <c r="BC139" s="80"/>
      <c r="BD139" s="80"/>
      <c r="BE139" s="80"/>
      <c r="BF139" s="80"/>
      <c r="BG139" s="80"/>
      <c r="BH139" s="80"/>
    </row>
    <row r="140" spans="1:60" s="52" customFormat="1" x14ac:dyDescent="0.2">
      <c r="A140" s="98" t="s">
        <v>400</v>
      </c>
      <c r="B140" s="89">
        <f t="shared" ref="B140:D140" si="77">IF(ISERROR(B139/B$31),"",B139/B$31)</f>
        <v>-31.800438528806584</v>
      </c>
      <c r="C140" s="89">
        <f t="shared" si="77"/>
        <v>-31.800438528806584</v>
      </c>
      <c r="D140" s="89">
        <f t="shared" si="77"/>
        <v>-31.800438528806584</v>
      </c>
      <c r="E140" s="89">
        <f>IF(ISERROR(E139/E$31),"",E139/E$31)</f>
        <v>-6.8158905123507072</v>
      </c>
      <c r="F140" s="89">
        <f t="shared" ref="F140:BB140" si="78">IF(ISERROR(F139/F$31),"",F139/F$31)</f>
        <v>-3.0993291226697264</v>
      </c>
      <c r="G140" s="89">
        <f t="shared" si="78"/>
        <v>-1.9451835439273237</v>
      </c>
      <c r="H140" s="89">
        <f t="shared" si="78"/>
        <v>-1.245985446616614</v>
      </c>
      <c r="I140" s="89">
        <f t="shared" si="78"/>
        <v>6.1754238409872562E-2</v>
      </c>
      <c r="J140" s="89">
        <f t="shared" si="78"/>
        <v>0.38530843409116039</v>
      </c>
      <c r="K140" s="89">
        <f t="shared" si="78"/>
        <v>0.40458047833168787</v>
      </c>
      <c r="L140" s="89">
        <f t="shared" si="78"/>
        <v>0.40458047833168787</v>
      </c>
      <c r="M140" s="89">
        <f t="shared" si="78"/>
        <v>0.42364928425190068</v>
      </c>
      <c r="N140" s="164">
        <f t="shared" si="78"/>
        <v>-0.21883796452836213</v>
      </c>
      <c r="O140" s="89">
        <f t="shared" si="78"/>
        <v>0.40490373799973595</v>
      </c>
      <c r="P140" s="89">
        <f t="shared" si="78"/>
        <v>0.42263827766285816</v>
      </c>
      <c r="Q140" s="89">
        <f t="shared" si="78"/>
        <v>0.43028114888768837</v>
      </c>
      <c r="R140" s="89">
        <f t="shared" si="78"/>
        <v>0.43768011325645367</v>
      </c>
      <c r="S140" s="89">
        <f t="shared" si="78"/>
        <v>0.4448466630868359</v>
      </c>
      <c r="T140" s="89">
        <f t="shared" si="78"/>
        <v>0.45179157987264251</v>
      </c>
      <c r="U140" s="89">
        <f t="shared" si="78"/>
        <v>0.45852498840436801</v>
      </c>
      <c r="V140" s="89">
        <f t="shared" si="78"/>
        <v>0.4650564060191773</v>
      </c>
      <c r="W140" s="89">
        <f t="shared" si="78"/>
        <v>0.47139478748413755</v>
      </c>
      <c r="X140" s="89">
        <f t="shared" si="78"/>
        <v>0.47754856595782774</v>
      </c>
      <c r="Y140" s="89">
        <f t="shared" si="78"/>
        <v>0.47754856595782774</v>
      </c>
      <c r="Z140" s="89">
        <f t="shared" si="78"/>
        <v>0.47754856595782774</v>
      </c>
      <c r="AA140" s="164">
        <f t="shared" si="78"/>
        <v>0.4528148355857492</v>
      </c>
      <c r="AB140" s="89">
        <f t="shared" si="78"/>
        <v>0.47232962151207175</v>
      </c>
      <c r="AC140" s="89">
        <f t="shared" si="78"/>
        <v>0.47232962151207175</v>
      </c>
      <c r="AD140" s="89">
        <f t="shared" si="78"/>
        <v>0.47232962151207175</v>
      </c>
      <c r="AE140" s="89">
        <f t="shared" si="78"/>
        <v>0.47232962151207175</v>
      </c>
      <c r="AF140" s="89">
        <f t="shared" si="78"/>
        <v>0.47232962151207175</v>
      </c>
      <c r="AG140" s="89">
        <f t="shared" si="78"/>
        <v>0.47232962151207175</v>
      </c>
      <c r="AH140" s="89">
        <f t="shared" si="78"/>
        <v>0.47232962151207175</v>
      </c>
      <c r="AI140" s="89">
        <f t="shared" si="78"/>
        <v>0.47232962151207175</v>
      </c>
      <c r="AJ140" s="89">
        <f t="shared" si="78"/>
        <v>0.47232962151207175</v>
      </c>
      <c r="AK140" s="89">
        <f t="shared" si="78"/>
        <v>0.47232962151207175</v>
      </c>
      <c r="AL140" s="89">
        <f t="shared" si="78"/>
        <v>0.47232962151207175</v>
      </c>
      <c r="AM140" s="89">
        <f t="shared" si="78"/>
        <v>0.47232962151207175</v>
      </c>
      <c r="AN140" s="164">
        <f t="shared" si="78"/>
        <v>0.47993834301250538</v>
      </c>
      <c r="AO140" s="89">
        <f t="shared" si="78"/>
        <v>0.46857297231136852</v>
      </c>
      <c r="AP140" s="89">
        <f t="shared" si="78"/>
        <v>0.46857297231136852</v>
      </c>
      <c r="AQ140" s="89">
        <f t="shared" si="78"/>
        <v>0.46857297231136852</v>
      </c>
      <c r="AR140" s="89">
        <f t="shared" si="78"/>
        <v>0.46857297231136852</v>
      </c>
      <c r="AS140" s="89">
        <f t="shared" si="78"/>
        <v>0.46857297231136852</v>
      </c>
      <c r="AT140" s="89">
        <f t="shared" si="78"/>
        <v>0.46857297231136852</v>
      </c>
      <c r="AU140" s="89">
        <f t="shared" si="78"/>
        <v>0.46857297231136852</v>
      </c>
      <c r="AV140" s="89">
        <f t="shared" si="78"/>
        <v>0.46857297231136852</v>
      </c>
      <c r="AW140" s="89">
        <f t="shared" si="78"/>
        <v>0.46857297231136852</v>
      </c>
      <c r="AX140" s="89">
        <f t="shared" si="78"/>
        <v>0.46857297231136852</v>
      </c>
      <c r="AY140" s="89">
        <f t="shared" si="78"/>
        <v>0.46857297231136852</v>
      </c>
      <c r="AZ140" s="89">
        <f t="shared" si="78"/>
        <v>0.46857297231136852</v>
      </c>
      <c r="BA140" s="164">
        <f t="shared" si="78"/>
        <v>0.46857297231136885</v>
      </c>
      <c r="BB140" s="164">
        <f t="shared" si="78"/>
        <v>0.45894012518006738</v>
      </c>
    </row>
    <row r="141" spans="1:60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165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173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173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173"/>
      <c r="BB141" s="173"/>
    </row>
    <row r="142" spans="1:60" x14ac:dyDescent="0.2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165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173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173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173"/>
      <c r="BB142" s="173"/>
    </row>
    <row r="143" spans="1:60" x14ac:dyDescent="0.2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165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173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173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173"/>
      <c r="BB143" s="173"/>
    </row>
    <row r="144" spans="1:60" x14ac:dyDescent="0.2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165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173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173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173"/>
      <c r="BB144" s="173"/>
    </row>
    <row r="145" spans="2:54" x14ac:dyDescent="0.2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165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173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173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173"/>
      <c r="BB145" s="173"/>
    </row>
    <row r="146" spans="2:54" x14ac:dyDescent="0.2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165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173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173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173"/>
      <c r="BB146" s="173"/>
    </row>
    <row r="147" spans="2:54" x14ac:dyDescent="0.2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165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173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173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173"/>
      <c r="BB147" s="173"/>
    </row>
    <row r="148" spans="2:54" x14ac:dyDescent="0.2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165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173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173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173"/>
      <c r="BB148" s="173"/>
    </row>
    <row r="149" spans="2:54" x14ac:dyDescent="0.2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165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173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173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173"/>
      <c r="BB149" s="173"/>
    </row>
    <row r="150" spans="2:54" x14ac:dyDescent="0.2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165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173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173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173"/>
      <c r="BB150" s="173"/>
    </row>
    <row r="151" spans="2:54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165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173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173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173"/>
      <c r="BB151" s="173"/>
    </row>
    <row r="152" spans="2:54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165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173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173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173"/>
      <c r="BB152" s="173"/>
    </row>
    <row r="153" spans="2:54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165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173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173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173"/>
      <c r="BB153" s="173"/>
    </row>
    <row r="154" spans="2:54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165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173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173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173"/>
      <c r="BB154" s="173"/>
    </row>
    <row r="155" spans="2:54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165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173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173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173"/>
      <c r="BB155" s="173"/>
    </row>
    <row r="156" spans="2:54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165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173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173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173"/>
      <c r="BB156" s="173"/>
    </row>
    <row r="157" spans="2:54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165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173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173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173"/>
      <c r="BB157" s="173"/>
    </row>
    <row r="158" spans="2:54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165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173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173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173"/>
      <c r="BB158" s="173"/>
    </row>
    <row r="159" spans="2:54" x14ac:dyDescent="0.2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165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173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173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173"/>
      <c r="BB159" s="173"/>
    </row>
    <row r="160" spans="2:54" x14ac:dyDescent="0.2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165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173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173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173"/>
      <c r="BB160" s="173"/>
    </row>
    <row r="161" spans="2:54" x14ac:dyDescent="0.2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165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173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173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173"/>
      <c r="BB161" s="173"/>
    </row>
    <row r="162" spans="2:54" x14ac:dyDescent="0.2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165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173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173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173"/>
      <c r="BB162" s="173"/>
    </row>
    <row r="163" spans="2:54" x14ac:dyDescent="0.2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165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173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173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173"/>
      <c r="BB163" s="173"/>
    </row>
    <row r="164" spans="2:54" x14ac:dyDescent="0.2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165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173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173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173"/>
      <c r="BB164" s="173"/>
    </row>
    <row r="165" spans="2:54" x14ac:dyDescent="0.2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165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173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173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173"/>
      <c r="BB165" s="173"/>
    </row>
    <row r="166" spans="2:54" x14ac:dyDescent="0.2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165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173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173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173"/>
      <c r="BB166" s="173"/>
    </row>
    <row r="167" spans="2:54" x14ac:dyDescent="0.2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165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173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173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173"/>
      <c r="BB167" s="173"/>
    </row>
    <row r="168" spans="2:54" x14ac:dyDescent="0.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165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173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173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173"/>
      <c r="BB168" s="173"/>
    </row>
    <row r="169" spans="2:54" x14ac:dyDescent="0.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165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173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173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173"/>
      <c r="BB169" s="173"/>
    </row>
    <row r="170" spans="2:54" x14ac:dyDescent="0.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165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173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173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173"/>
      <c r="BB170" s="173"/>
    </row>
    <row r="171" spans="2:54" x14ac:dyDescent="0.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165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173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173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173"/>
      <c r="BB171" s="173"/>
    </row>
    <row r="172" spans="2:54" x14ac:dyDescent="0.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165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173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173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173"/>
      <c r="BB172" s="173"/>
    </row>
    <row r="173" spans="2:54" x14ac:dyDescent="0.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165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173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173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173"/>
      <c r="BB173" s="173"/>
    </row>
    <row r="174" spans="2:54" x14ac:dyDescent="0.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165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173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173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173"/>
      <c r="BB174" s="173"/>
    </row>
    <row r="175" spans="2:54" x14ac:dyDescent="0.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165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173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173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173"/>
      <c r="BB175" s="173"/>
    </row>
    <row r="176" spans="2:54" x14ac:dyDescent="0.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165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173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173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173"/>
      <c r="BB176" s="173"/>
    </row>
    <row r="177" spans="2:54" x14ac:dyDescent="0.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165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173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173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173"/>
      <c r="BB177" s="173"/>
    </row>
    <row r="178" spans="2:54" x14ac:dyDescent="0.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165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173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173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173"/>
      <c r="BB178" s="173"/>
    </row>
    <row r="179" spans="2:54" x14ac:dyDescent="0.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165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173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173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173"/>
      <c r="BB179" s="173"/>
    </row>
    <row r="180" spans="2:54" x14ac:dyDescent="0.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165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173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173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173"/>
      <c r="BB180" s="173"/>
    </row>
    <row r="181" spans="2:54" x14ac:dyDescent="0.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165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173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173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173"/>
      <c r="BB181" s="173"/>
    </row>
    <row r="182" spans="2:54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165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173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173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173"/>
      <c r="BB182" s="173"/>
    </row>
    <row r="183" spans="2:54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165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173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173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173"/>
      <c r="BB183" s="173"/>
    </row>
    <row r="184" spans="2:54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165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173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173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173"/>
      <c r="BB184" s="173"/>
    </row>
    <row r="185" spans="2:54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165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173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173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173"/>
      <c r="BB185" s="173"/>
    </row>
    <row r="186" spans="2:54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165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173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173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173"/>
      <c r="BB186" s="173"/>
    </row>
    <row r="187" spans="2:54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165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173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173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173"/>
      <c r="BB187" s="173"/>
    </row>
    <row r="188" spans="2:54" x14ac:dyDescent="0.2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165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173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173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173"/>
      <c r="BB188" s="173"/>
    </row>
    <row r="189" spans="2:54" x14ac:dyDescent="0.2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165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173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173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173"/>
      <c r="BB189" s="173"/>
    </row>
    <row r="190" spans="2:54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165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173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173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173"/>
      <c r="BB190" s="173"/>
    </row>
    <row r="191" spans="2:54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165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173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173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173"/>
      <c r="BB191" s="173"/>
    </row>
    <row r="192" spans="2:54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165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173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173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173"/>
      <c r="BB192" s="173"/>
    </row>
    <row r="193" spans="2:54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165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173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173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173"/>
      <c r="BB193" s="173"/>
    </row>
    <row r="194" spans="2:54" x14ac:dyDescent="0.2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165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173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173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173"/>
      <c r="BB194" s="173"/>
    </row>
    <row r="195" spans="2:54" x14ac:dyDescent="0.2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165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173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173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173"/>
      <c r="BB195" s="173"/>
    </row>
    <row r="196" spans="2:54" x14ac:dyDescent="0.2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165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173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173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173"/>
      <c r="BB196" s="173"/>
    </row>
    <row r="197" spans="2:54" x14ac:dyDescent="0.2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165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173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173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173"/>
      <c r="BB197" s="173"/>
    </row>
    <row r="198" spans="2:54" x14ac:dyDescent="0.2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165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173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173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173"/>
      <c r="BB198" s="173"/>
    </row>
    <row r="199" spans="2:54" x14ac:dyDescent="0.2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165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173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173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173"/>
      <c r="BB199" s="173"/>
    </row>
    <row r="200" spans="2:54" x14ac:dyDescent="0.2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165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173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173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173"/>
      <c r="BB200" s="173"/>
    </row>
    <row r="201" spans="2:54" x14ac:dyDescent="0.2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165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173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173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173"/>
      <c r="BB201" s="173"/>
    </row>
    <row r="202" spans="2:54" x14ac:dyDescent="0.2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165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173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173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173"/>
      <c r="BB202" s="173"/>
    </row>
    <row r="203" spans="2:54" x14ac:dyDescent="0.2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165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173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173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173"/>
      <c r="BB203" s="173"/>
    </row>
    <row r="204" spans="2:54" x14ac:dyDescent="0.2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165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173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173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173"/>
      <c r="BB204" s="173"/>
    </row>
    <row r="205" spans="2:54" x14ac:dyDescent="0.2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165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173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173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173"/>
      <c r="BB205" s="173"/>
    </row>
    <row r="206" spans="2:54" x14ac:dyDescent="0.2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165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173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173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173"/>
      <c r="BB206" s="173"/>
    </row>
    <row r="207" spans="2:54" x14ac:dyDescent="0.2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165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173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173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173"/>
      <c r="BB207" s="173"/>
    </row>
    <row r="208" spans="2:54" x14ac:dyDescent="0.2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165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173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173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173"/>
      <c r="BB208" s="173"/>
    </row>
    <row r="209" spans="2:54" x14ac:dyDescent="0.2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165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173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173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173"/>
      <c r="BB209" s="173"/>
    </row>
    <row r="210" spans="2:54" x14ac:dyDescent="0.2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165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173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173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173"/>
      <c r="BB210" s="173"/>
    </row>
    <row r="211" spans="2:54" x14ac:dyDescent="0.2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165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173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173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173"/>
      <c r="BB211" s="173"/>
    </row>
    <row r="212" spans="2:54" x14ac:dyDescent="0.2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165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173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173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173"/>
      <c r="BB212" s="173"/>
    </row>
    <row r="213" spans="2:54" x14ac:dyDescent="0.2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165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173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173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173"/>
      <c r="BB213" s="173"/>
    </row>
    <row r="214" spans="2:54" x14ac:dyDescent="0.2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165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173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173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173"/>
      <c r="BB214" s="173"/>
    </row>
    <row r="215" spans="2:54" x14ac:dyDescent="0.2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165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173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173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173"/>
      <c r="BB215" s="173"/>
    </row>
    <row r="216" spans="2:54" x14ac:dyDescent="0.2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165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173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173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173"/>
      <c r="BB216" s="173"/>
    </row>
    <row r="217" spans="2:54" x14ac:dyDescent="0.2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165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173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173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173"/>
      <c r="BB217" s="173"/>
    </row>
    <row r="218" spans="2:54" x14ac:dyDescent="0.2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165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173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173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173"/>
      <c r="BB218" s="173"/>
    </row>
    <row r="219" spans="2:54" x14ac:dyDescent="0.2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165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173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173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173"/>
      <c r="BB219" s="173"/>
    </row>
    <row r="220" spans="2:54" x14ac:dyDescent="0.2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165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173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173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173"/>
      <c r="BB220" s="173"/>
    </row>
    <row r="221" spans="2:54" x14ac:dyDescent="0.2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165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173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173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173"/>
      <c r="BB221" s="173"/>
    </row>
    <row r="222" spans="2:54" x14ac:dyDescent="0.2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165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173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173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173"/>
      <c r="BB222" s="173"/>
    </row>
    <row r="223" spans="2:54" x14ac:dyDescent="0.2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165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173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173"/>
      <c r="AO223" s="64"/>
      <c r="AP223" s="64"/>
      <c r="AQ223" s="64"/>
      <c r="AR223" s="64"/>
      <c r="AS223" s="64"/>
      <c r="AT223" s="64"/>
      <c r="AU223" s="64"/>
      <c r="AV223" s="64"/>
      <c r="AW223" s="64"/>
      <c r="AX223" s="64"/>
      <c r="AY223" s="64"/>
      <c r="AZ223" s="64"/>
      <c r="BA223" s="173"/>
      <c r="BB223" s="173"/>
    </row>
    <row r="224" spans="2:54" x14ac:dyDescent="0.2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165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173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173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173"/>
      <c r="BB224" s="173"/>
    </row>
    <row r="225" spans="2:54" x14ac:dyDescent="0.2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165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173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173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173"/>
      <c r="BB225" s="173"/>
    </row>
    <row r="226" spans="2:54" x14ac:dyDescent="0.2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165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173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173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173"/>
      <c r="BB226" s="173"/>
    </row>
    <row r="227" spans="2:54" x14ac:dyDescent="0.2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165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173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173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173"/>
      <c r="BB227" s="173"/>
    </row>
    <row r="228" spans="2:54" x14ac:dyDescent="0.2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165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173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173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173"/>
      <c r="BB228" s="173"/>
    </row>
    <row r="229" spans="2:54" x14ac:dyDescent="0.2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165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173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173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173"/>
      <c r="BB229" s="173"/>
    </row>
    <row r="230" spans="2:54" x14ac:dyDescent="0.2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165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173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173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173"/>
      <c r="BB230" s="173"/>
    </row>
    <row r="231" spans="2:54" x14ac:dyDescent="0.2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165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173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173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173"/>
      <c r="BB231" s="173"/>
    </row>
    <row r="232" spans="2:54" x14ac:dyDescent="0.2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165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173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173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173"/>
      <c r="BB232" s="173"/>
    </row>
    <row r="233" spans="2:54" x14ac:dyDescent="0.2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165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173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173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173"/>
      <c r="BB233" s="173"/>
    </row>
    <row r="234" spans="2:54" x14ac:dyDescent="0.2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165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173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173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173"/>
      <c r="BB234" s="173"/>
    </row>
    <row r="235" spans="2:54" x14ac:dyDescent="0.2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165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173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173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173"/>
      <c r="BB235" s="173"/>
    </row>
    <row r="236" spans="2:54" x14ac:dyDescent="0.2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165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173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173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173"/>
      <c r="BB236" s="173"/>
    </row>
    <row r="237" spans="2:54" x14ac:dyDescent="0.2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165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173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173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173"/>
      <c r="BB237" s="173"/>
    </row>
    <row r="238" spans="2:54" x14ac:dyDescent="0.2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165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173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173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173"/>
      <c r="BB238" s="173"/>
    </row>
    <row r="239" spans="2:54" x14ac:dyDescent="0.2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165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173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173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173"/>
      <c r="BB239" s="173"/>
    </row>
    <row r="240" spans="2:54" x14ac:dyDescent="0.2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165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173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173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173"/>
      <c r="BB240" s="173"/>
    </row>
    <row r="241" spans="2:54" x14ac:dyDescent="0.2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165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173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173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173"/>
      <c r="BB241" s="173"/>
    </row>
    <row r="242" spans="2:54" x14ac:dyDescent="0.2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165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173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173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173"/>
      <c r="BB242" s="173"/>
    </row>
    <row r="243" spans="2:54" x14ac:dyDescent="0.2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165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173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173"/>
      <c r="AO243" s="64"/>
      <c r="AP243" s="64"/>
      <c r="AQ243" s="64"/>
      <c r="AR243" s="64"/>
      <c r="AS243" s="64"/>
      <c r="AT243" s="64"/>
      <c r="AU243" s="64"/>
      <c r="AV243" s="64"/>
      <c r="AW243" s="64"/>
      <c r="AX243" s="64"/>
      <c r="AY243" s="64"/>
      <c r="AZ243" s="64"/>
      <c r="BA243" s="173"/>
      <c r="BB243" s="173"/>
    </row>
    <row r="244" spans="2:54" x14ac:dyDescent="0.2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165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173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173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173"/>
      <c r="BB244" s="173"/>
    </row>
    <row r="245" spans="2:54" x14ac:dyDescent="0.2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165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173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173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173"/>
      <c r="BB245" s="173"/>
    </row>
    <row r="246" spans="2:54" x14ac:dyDescent="0.2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165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173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173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173"/>
      <c r="BB246" s="173"/>
    </row>
    <row r="247" spans="2:54" x14ac:dyDescent="0.2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165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173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173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173"/>
      <c r="BB247" s="173"/>
    </row>
    <row r="248" spans="2:54" x14ac:dyDescent="0.2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165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173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173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173"/>
      <c r="BB248" s="173"/>
    </row>
    <row r="249" spans="2:54" x14ac:dyDescent="0.2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165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173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173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173"/>
      <c r="BB249" s="173"/>
    </row>
    <row r="250" spans="2:54" x14ac:dyDescent="0.2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165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173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173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173"/>
      <c r="BB250" s="173"/>
    </row>
    <row r="251" spans="2:54" x14ac:dyDescent="0.2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165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173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173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173"/>
      <c r="BB251" s="173"/>
    </row>
    <row r="252" spans="2:54" x14ac:dyDescent="0.2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165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173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173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173"/>
      <c r="BB252" s="173"/>
    </row>
    <row r="253" spans="2:54" x14ac:dyDescent="0.2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165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173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173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173"/>
      <c r="BB253" s="173"/>
    </row>
    <row r="254" spans="2:54" x14ac:dyDescent="0.2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165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173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173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173"/>
      <c r="BB254" s="173"/>
    </row>
    <row r="255" spans="2:54" x14ac:dyDescent="0.2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165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173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173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173"/>
      <c r="BB255" s="173"/>
    </row>
    <row r="256" spans="2:54" x14ac:dyDescent="0.2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165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173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173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173"/>
      <c r="BB256" s="173"/>
    </row>
    <row r="257" spans="2:54" x14ac:dyDescent="0.2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165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173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173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173"/>
      <c r="BB257" s="173"/>
    </row>
    <row r="258" spans="2:54" x14ac:dyDescent="0.2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165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173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173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173"/>
      <c r="BB258" s="173"/>
    </row>
    <row r="259" spans="2:54" x14ac:dyDescent="0.2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165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173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173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173"/>
      <c r="BB259" s="173"/>
    </row>
    <row r="260" spans="2:54" x14ac:dyDescent="0.2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165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173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173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173"/>
      <c r="BB260" s="173"/>
    </row>
    <row r="261" spans="2:54" x14ac:dyDescent="0.2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165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173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173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173"/>
      <c r="BB261" s="173"/>
    </row>
    <row r="262" spans="2:54" x14ac:dyDescent="0.2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165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173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173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173"/>
      <c r="BB262" s="173"/>
    </row>
    <row r="263" spans="2:54" x14ac:dyDescent="0.2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165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173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173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173"/>
      <c r="BB263" s="173"/>
    </row>
    <row r="264" spans="2:54" x14ac:dyDescent="0.2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165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173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173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173"/>
      <c r="BB264" s="173"/>
    </row>
    <row r="265" spans="2:54" x14ac:dyDescent="0.2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165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173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173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173"/>
      <c r="BB265" s="173"/>
    </row>
    <row r="266" spans="2:54" x14ac:dyDescent="0.2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165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173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173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173"/>
      <c r="BB266" s="173"/>
    </row>
    <row r="267" spans="2:54" x14ac:dyDescent="0.2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165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173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173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173"/>
      <c r="BB267" s="173"/>
    </row>
    <row r="268" spans="2:54" x14ac:dyDescent="0.2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165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173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173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173"/>
      <c r="BB268" s="173"/>
    </row>
    <row r="269" spans="2:54" x14ac:dyDescent="0.2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165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173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173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173"/>
      <c r="BB269" s="173"/>
    </row>
    <row r="270" spans="2:54" x14ac:dyDescent="0.2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165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173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173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173"/>
      <c r="BB270" s="173"/>
    </row>
    <row r="271" spans="2:54" x14ac:dyDescent="0.2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165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173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173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173"/>
      <c r="BB271" s="173"/>
    </row>
    <row r="272" spans="2:54" x14ac:dyDescent="0.2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165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173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173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173"/>
      <c r="BB272" s="173"/>
    </row>
    <row r="273" spans="2:54" x14ac:dyDescent="0.2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165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173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173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173"/>
      <c r="BB273" s="173"/>
    </row>
    <row r="274" spans="2:54" x14ac:dyDescent="0.2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165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173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173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173"/>
      <c r="BB274" s="173"/>
    </row>
  </sheetData>
  <sheetProtection formatCells="0" formatColumns="0" formatRows="0"/>
  <printOptions headings="1"/>
  <pageMargins left="0.17" right="0.23" top="0.5" bottom="0.28999999999999998" header="0.25" footer="0.06"/>
  <pageSetup scale="70" fitToWidth="3" fitToHeight="8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C93D-AF4F-4FC3-A177-5EC5256161AB}">
  <sheetPr>
    <tabColor rgb="FFFFC000"/>
  </sheetPr>
  <dimension ref="A1:AB118"/>
  <sheetViews>
    <sheetView workbookViewId="0">
      <selection activeCell="B1" sqref="B1"/>
    </sheetView>
  </sheetViews>
  <sheetFormatPr defaultRowHeight="12.75" x14ac:dyDescent="0.2"/>
  <cols>
    <col min="1" max="1" width="20.7109375" customWidth="1"/>
    <col min="2" max="2" width="14.140625" style="123" bestFit="1" customWidth="1"/>
    <col min="3" max="3" width="13.140625" bestFit="1" customWidth="1"/>
    <col min="4" max="5" width="10.42578125" bestFit="1" customWidth="1"/>
    <col min="8" max="8" width="10.28515625" bestFit="1" customWidth="1"/>
    <col min="9" max="9" width="11.28515625" bestFit="1" customWidth="1"/>
    <col min="11" max="11" width="9.7109375" bestFit="1" customWidth="1"/>
    <col min="13" max="13" width="10.85546875" customWidth="1"/>
    <col min="14" max="14" width="1.85546875" customWidth="1"/>
    <col min="15" max="15" width="10.85546875" customWidth="1"/>
    <col min="16" max="16" width="11.28515625" bestFit="1" customWidth="1"/>
    <col min="28" max="28" width="10.28515625" bestFit="1" customWidth="1"/>
  </cols>
  <sheetData>
    <row r="1" spans="1:11" x14ac:dyDescent="0.2">
      <c r="A1" s="152" t="str">
        <f>'FSS 805 P&amp;L'!A1</f>
        <v>FRONTIER - 805 N. 23rd Street</v>
      </c>
    </row>
    <row r="2" spans="1:11" x14ac:dyDescent="0.2">
      <c r="A2" s="122" t="s">
        <v>148</v>
      </c>
    </row>
    <row r="3" spans="1:11" x14ac:dyDescent="0.2">
      <c r="A3" s="122" t="s">
        <v>256</v>
      </c>
    </row>
    <row r="4" spans="1:11" ht="13.5" thickBot="1" x14ac:dyDescent="0.25">
      <c r="A4" s="122"/>
    </row>
    <row r="5" spans="1:11" ht="13.5" thickBot="1" x14ac:dyDescent="0.25">
      <c r="D5" s="290" t="s">
        <v>394</v>
      </c>
      <c r="E5" s="291"/>
      <c r="F5" s="292"/>
      <c r="I5" s="152"/>
      <c r="J5" s="152"/>
      <c r="K5" s="152"/>
    </row>
    <row r="6" spans="1:11" s="126" customFormat="1" ht="36" x14ac:dyDescent="0.2">
      <c r="A6" s="126" t="s">
        <v>150</v>
      </c>
      <c r="B6" s="127"/>
      <c r="C6" s="126" t="s">
        <v>154</v>
      </c>
      <c r="D6" s="126" t="s">
        <v>427</v>
      </c>
      <c r="E6" s="126" t="s">
        <v>156</v>
      </c>
      <c r="F6" s="126" t="s">
        <v>157</v>
      </c>
    </row>
    <row r="7" spans="1:11" x14ac:dyDescent="0.2">
      <c r="A7" s="122" t="s">
        <v>155</v>
      </c>
      <c r="B7" s="124">
        <v>1</v>
      </c>
      <c r="C7" s="123">
        <v>67500</v>
      </c>
      <c r="D7" s="123">
        <v>6336</v>
      </c>
      <c r="H7" s="141"/>
      <c r="I7" s="141"/>
      <c r="J7" s="141"/>
    </row>
    <row r="8" spans="1:11" x14ac:dyDescent="0.2">
      <c r="H8" s="141"/>
      <c r="I8" s="141"/>
      <c r="J8" s="141"/>
    </row>
    <row r="9" spans="1:11" x14ac:dyDescent="0.2">
      <c r="A9" s="122" t="s">
        <v>436</v>
      </c>
      <c r="B9" s="124"/>
      <c r="C9" s="125">
        <v>8600</v>
      </c>
      <c r="D9" s="125">
        <v>3000</v>
      </c>
      <c r="E9" s="128">
        <v>15</v>
      </c>
      <c r="F9" s="128">
        <v>0</v>
      </c>
      <c r="H9" s="141"/>
      <c r="I9" s="141"/>
      <c r="J9" s="195"/>
      <c r="K9" s="195"/>
    </row>
    <row r="10" spans="1:11" x14ac:dyDescent="0.2">
      <c r="A10" s="122" t="s">
        <v>425</v>
      </c>
      <c r="B10" s="143"/>
      <c r="C10" s="192"/>
      <c r="D10" s="192">
        <f>2374+712</f>
        <v>3086</v>
      </c>
      <c r="E10" s="197">
        <v>75</v>
      </c>
      <c r="F10" s="197">
        <v>0</v>
      </c>
      <c r="G10" s="176"/>
      <c r="H10" s="196"/>
      <c r="I10" s="141"/>
      <c r="J10" s="195"/>
      <c r="K10" s="195"/>
    </row>
    <row r="11" spans="1:11" x14ac:dyDescent="0.2">
      <c r="A11" s="122" t="s">
        <v>152</v>
      </c>
      <c r="B11" s="124"/>
      <c r="C11" s="125">
        <v>3200</v>
      </c>
      <c r="D11" s="125">
        <f>250</f>
        <v>250</v>
      </c>
      <c r="E11" s="128">
        <v>250</v>
      </c>
      <c r="F11" s="128">
        <v>0</v>
      </c>
      <c r="I11" s="123"/>
      <c r="J11" s="123"/>
      <c r="K11" s="123"/>
    </row>
    <row r="12" spans="1:11" x14ac:dyDescent="0.2">
      <c r="A12" s="122" t="s">
        <v>160</v>
      </c>
      <c r="B12" s="124"/>
      <c r="C12" s="217" t="s">
        <v>277</v>
      </c>
      <c r="D12" s="125"/>
      <c r="E12" s="128"/>
      <c r="F12" s="128">
        <v>0</v>
      </c>
      <c r="I12" s="178"/>
      <c r="J12" s="137"/>
    </row>
    <row r="13" spans="1:11" x14ac:dyDescent="0.2">
      <c r="A13" s="122" t="s">
        <v>428</v>
      </c>
      <c r="B13" s="124"/>
      <c r="C13" s="125">
        <v>50</v>
      </c>
      <c r="D13" s="125">
        <f>27*C13</f>
        <v>1350</v>
      </c>
      <c r="E13" s="128">
        <v>100</v>
      </c>
      <c r="F13" s="128">
        <v>0</v>
      </c>
      <c r="I13" s="123"/>
      <c r="J13" s="123"/>
    </row>
    <row r="14" spans="1:11" x14ac:dyDescent="0.2">
      <c r="A14" s="122"/>
      <c r="B14" s="124"/>
      <c r="C14" s="125"/>
      <c r="D14" s="125"/>
      <c r="E14" s="128"/>
      <c r="F14" s="128"/>
      <c r="I14" s="123"/>
      <c r="J14" s="123"/>
    </row>
    <row r="15" spans="1:11" x14ac:dyDescent="0.2">
      <c r="A15" s="152" t="s">
        <v>439</v>
      </c>
      <c r="B15" s="124"/>
      <c r="C15" s="125"/>
      <c r="D15" s="125"/>
      <c r="E15" s="128"/>
      <c r="F15" s="128"/>
      <c r="I15" s="123"/>
      <c r="J15" s="123"/>
    </row>
    <row r="16" spans="1:11" x14ac:dyDescent="0.2">
      <c r="A16" s="122" t="s">
        <v>440</v>
      </c>
      <c r="B16" s="198">
        <v>20</v>
      </c>
      <c r="C16" s="192" t="s">
        <v>443</v>
      </c>
      <c r="D16" s="125"/>
      <c r="E16" s="128"/>
      <c r="F16" s="128"/>
      <c r="I16" s="123"/>
      <c r="J16" s="123"/>
    </row>
    <row r="17" spans="1:28" x14ac:dyDescent="0.2">
      <c r="A17" s="122" t="s">
        <v>441</v>
      </c>
      <c r="B17" s="198">
        <v>20</v>
      </c>
      <c r="C17" s="192" t="s">
        <v>443</v>
      </c>
      <c r="D17" s="125"/>
      <c r="E17" s="128"/>
      <c r="F17" s="128"/>
      <c r="I17" s="123"/>
      <c r="J17" s="123"/>
    </row>
    <row r="18" spans="1:28" x14ac:dyDescent="0.2">
      <c r="A18" s="122" t="s">
        <v>442</v>
      </c>
      <c r="B18" s="137">
        <v>3.5</v>
      </c>
      <c r="C18" s="125"/>
      <c r="D18" s="125"/>
      <c r="E18" s="128"/>
      <c r="F18" s="128"/>
      <c r="I18" s="123"/>
      <c r="J18" s="123"/>
      <c r="O18" s="138"/>
      <c r="Q18" s="213"/>
    </row>
    <row r="19" spans="1:28" x14ac:dyDescent="0.2">
      <c r="A19" s="122" t="s">
        <v>444</v>
      </c>
      <c r="B19" s="123">
        <v>20</v>
      </c>
      <c r="C19" s="123"/>
      <c r="D19" s="123"/>
      <c r="E19" s="123"/>
      <c r="F19" s="123"/>
      <c r="G19" s="123"/>
      <c r="I19" s="123"/>
      <c r="J19" s="123"/>
    </row>
    <row r="20" spans="1:28" x14ac:dyDescent="0.2">
      <c r="A20" s="122"/>
      <c r="C20" s="123"/>
      <c r="D20" s="123"/>
      <c r="E20" s="123"/>
      <c r="F20" s="123"/>
      <c r="G20" s="123"/>
      <c r="I20" s="123"/>
      <c r="J20" s="123"/>
    </row>
    <row r="21" spans="1:28" x14ac:dyDescent="0.2">
      <c r="A21" s="152" t="s">
        <v>279</v>
      </c>
    </row>
    <row r="22" spans="1:28" s="126" customFormat="1" x14ac:dyDescent="0.2">
      <c r="A22" s="152" t="s">
        <v>125</v>
      </c>
      <c r="B22" s="126">
        <v>1</v>
      </c>
      <c r="C22" s="126">
        <v>2</v>
      </c>
      <c r="D22" s="126">
        <v>3</v>
      </c>
      <c r="E22" s="126">
        <v>4</v>
      </c>
      <c r="F22" s="126">
        <v>5</v>
      </c>
      <c r="G22" s="126">
        <v>6</v>
      </c>
      <c r="H22" s="126">
        <v>7</v>
      </c>
      <c r="I22" s="126">
        <v>8</v>
      </c>
      <c r="J22" s="126">
        <v>9</v>
      </c>
      <c r="K22" s="126">
        <v>10</v>
      </c>
      <c r="L22" s="126">
        <v>11</v>
      </c>
      <c r="M22" s="126">
        <v>12</v>
      </c>
    </row>
    <row r="23" spans="1:28" s="126" customFormat="1" x14ac:dyDescent="0.2">
      <c r="A23" s="122" t="s">
        <v>158</v>
      </c>
    </row>
    <row r="24" spans="1:28" x14ac:dyDescent="0.2">
      <c r="A24" s="122" t="s">
        <v>436</v>
      </c>
      <c r="B24" s="124">
        <v>0</v>
      </c>
      <c r="C24" s="124">
        <v>0</v>
      </c>
      <c r="D24" s="124">
        <v>0</v>
      </c>
      <c r="E24" s="124">
        <v>0.17</v>
      </c>
      <c r="F24" s="124">
        <v>0.4</v>
      </c>
      <c r="G24" s="124">
        <v>0.5</v>
      </c>
      <c r="H24" s="124">
        <v>0.6</v>
      </c>
      <c r="I24" s="124">
        <v>0.7</v>
      </c>
      <c r="J24" s="124">
        <v>0.8</v>
      </c>
      <c r="K24" s="124">
        <v>0.9</v>
      </c>
      <c r="L24" s="124">
        <v>0.9</v>
      </c>
      <c r="M24" s="124">
        <v>0.9</v>
      </c>
      <c r="N24" s="124"/>
      <c r="AA24" s="124"/>
      <c r="AB24" s="124"/>
    </row>
    <row r="25" spans="1:28" x14ac:dyDescent="0.2">
      <c r="A25" s="122" t="s">
        <v>425</v>
      </c>
      <c r="B25" s="124">
        <v>0</v>
      </c>
      <c r="C25" s="124">
        <v>0</v>
      </c>
      <c r="D25" s="124">
        <v>0</v>
      </c>
      <c r="E25" s="124">
        <v>0.01</v>
      </c>
      <c r="F25" s="124">
        <v>0.01</v>
      </c>
      <c r="G25" s="124">
        <v>0.02</v>
      </c>
      <c r="H25" s="124">
        <v>0.05</v>
      </c>
      <c r="I25" s="124">
        <v>0.5</v>
      </c>
      <c r="J25" s="124">
        <v>0.85</v>
      </c>
      <c r="K25" s="124">
        <v>0.85</v>
      </c>
      <c r="L25" s="124">
        <v>0.85</v>
      </c>
      <c r="M25" s="124">
        <v>0.9</v>
      </c>
      <c r="N25" s="124"/>
      <c r="AA25" s="124"/>
      <c r="AB25" s="124"/>
    </row>
    <row r="26" spans="1:28" x14ac:dyDescent="0.2">
      <c r="A26" s="122" t="s">
        <v>152</v>
      </c>
      <c r="B26" s="124">
        <v>0</v>
      </c>
      <c r="C26" s="124">
        <v>0</v>
      </c>
      <c r="D26" s="124">
        <v>0</v>
      </c>
      <c r="E26" s="124">
        <v>0.01</v>
      </c>
      <c r="F26" s="124">
        <v>0.01</v>
      </c>
      <c r="G26" s="124">
        <v>0.02</v>
      </c>
      <c r="H26" s="124">
        <v>0.05</v>
      </c>
      <c r="I26" s="124">
        <v>0.5</v>
      </c>
      <c r="J26" s="124">
        <v>0.85</v>
      </c>
      <c r="K26" s="124">
        <v>0.85</v>
      </c>
      <c r="L26" s="124">
        <v>0.85</v>
      </c>
      <c r="M26" s="124">
        <v>0.9</v>
      </c>
      <c r="N26" s="124"/>
      <c r="AA26" s="124"/>
      <c r="AB26" s="124"/>
    </row>
    <row r="27" spans="1:28" x14ac:dyDescent="0.2">
      <c r="A27" s="122" t="s">
        <v>160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/>
      <c r="AA27" s="124"/>
      <c r="AB27" s="124"/>
    </row>
    <row r="28" spans="1:28" x14ac:dyDescent="0.2">
      <c r="A28" s="122" t="s">
        <v>480</v>
      </c>
      <c r="B28" s="124">
        <v>0.04</v>
      </c>
      <c r="C28" s="124">
        <v>0.04</v>
      </c>
      <c r="D28" s="124">
        <v>0.04</v>
      </c>
      <c r="E28" s="124">
        <v>0.04</v>
      </c>
      <c r="F28" s="124">
        <v>0.06</v>
      </c>
      <c r="G28" s="124">
        <v>0.12</v>
      </c>
      <c r="H28" s="124">
        <v>0.14000000000000001</v>
      </c>
      <c r="I28" s="124">
        <v>0.14000000000000001</v>
      </c>
      <c r="J28" s="124">
        <v>0.34</v>
      </c>
      <c r="K28" s="124">
        <v>0.39</v>
      </c>
      <c r="L28" s="124">
        <v>0.39</v>
      </c>
      <c r="M28" s="124">
        <v>0.39</v>
      </c>
      <c r="N28" s="124"/>
      <c r="AA28" s="124"/>
      <c r="AB28" s="124"/>
    </row>
    <row r="29" spans="1:28" x14ac:dyDescent="0.2">
      <c r="A29" s="122" t="s">
        <v>481</v>
      </c>
      <c r="B29" s="124">
        <v>1</v>
      </c>
      <c r="C29" s="124">
        <v>1</v>
      </c>
      <c r="D29" s="124">
        <v>1</v>
      </c>
      <c r="E29" s="124">
        <v>1</v>
      </c>
      <c r="F29" s="124">
        <v>1</v>
      </c>
      <c r="G29" s="124">
        <v>1</v>
      </c>
      <c r="H29" s="124">
        <v>1</v>
      </c>
      <c r="I29" s="124">
        <v>0.9</v>
      </c>
      <c r="J29" s="124">
        <v>0.9</v>
      </c>
      <c r="K29" s="124">
        <v>0.9</v>
      </c>
      <c r="L29" s="124">
        <v>0.9</v>
      </c>
      <c r="M29" s="124">
        <v>0.9</v>
      </c>
      <c r="N29" s="124"/>
      <c r="AA29" s="124"/>
      <c r="AB29" s="124"/>
    </row>
    <row r="30" spans="1:28" x14ac:dyDescent="0.2">
      <c r="A30" s="122" t="s">
        <v>482</v>
      </c>
      <c r="B30" s="123">
        <f>($D$9*B24+$D$10*B25+$D$11*B26+$D$12*B27+$C$13*$B$19*B28)*B29</f>
        <v>40</v>
      </c>
      <c r="C30" s="123">
        <f>($D$9*C24+$D$10*C25+$D$11*C26+$D$12*C27+$C$13*$B$19*C28)*C29</f>
        <v>40</v>
      </c>
      <c r="D30" s="123">
        <f t="shared" ref="D30:M30" si="0">($D$9*D24+$D$10*D25+$D$11*D26+$D$12*D27+$C$13*$B$19*D28)*D29</f>
        <v>40</v>
      </c>
      <c r="E30" s="123">
        <f t="shared" si="0"/>
        <v>583.36</v>
      </c>
      <c r="F30" s="123">
        <f t="shared" si="0"/>
        <v>1293.3599999999999</v>
      </c>
      <c r="G30" s="123">
        <f t="shared" si="0"/>
        <v>1686.72</v>
      </c>
      <c r="H30" s="123">
        <f t="shared" si="0"/>
        <v>2106.8000000000002</v>
      </c>
      <c r="I30" s="123">
        <f t="shared" si="0"/>
        <v>3517.2000000000003</v>
      </c>
      <c r="J30" s="123">
        <f t="shared" si="0"/>
        <v>5018.0400000000009</v>
      </c>
      <c r="K30" s="123">
        <f t="shared" si="0"/>
        <v>5333.0400000000009</v>
      </c>
      <c r="L30" s="123">
        <f t="shared" si="0"/>
        <v>5333.0400000000009</v>
      </c>
      <c r="M30" s="123">
        <f t="shared" si="0"/>
        <v>5483.16</v>
      </c>
      <c r="N30" s="124"/>
      <c r="AA30" s="124"/>
      <c r="AB30" s="124"/>
    </row>
    <row r="31" spans="1:28" x14ac:dyDescent="0.2">
      <c r="A31" s="122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</row>
    <row r="32" spans="1:28" x14ac:dyDescent="0.2">
      <c r="A32" s="152" t="s">
        <v>163</v>
      </c>
      <c r="B32" s="126">
        <v>1</v>
      </c>
      <c r="C32" s="126">
        <v>2</v>
      </c>
      <c r="D32" s="126">
        <v>3</v>
      </c>
      <c r="E32" s="126">
        <v>4</v>
      </c>
      <c r="F32" s="126">
        <v>5</v>
      </c>
      <c r="G32" s="126">
        <v>6</v>
      </c>
      <c r="H32" s="126">
        <v>7</v>
      </c>
      <c r="I32" s="126">
        <v>8</v>
      </c>
      <c r="J32" s="126">
        <v>9</v>
      </c>
      <c r="K32" s="126">
        <v>10</v>
      </c>
      <c r="L32" s="126">
        <v>11</v>
      </c>
      <c r="M32" s="126">
        <v>12</v>
      </c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</row>
    <row r="33" spans="1:28" x14ac:dyDescent="0.2">
      <c r="A33" s="122" t="s">
        <v>158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</row>
    <row r="34" spans="1:28" x14ac:dyDescent="0.2">
      <c r="A34" s="122" t="s">
        <v>436</v>
      </c>
      <c r="B34" s="124">
        <v>0.9</v>
      </c>
      <c r="C34" s="124">
        <v>0.9</v>
      </c>
      <c r="D34" s="124">
        <v>0.9</v>
      </c>
      <c r="E34" s="124">
        <v>0.9</v>
      </c>
      <c r="F34" s="124">
        <v>0.9</v>
      </c>
      <c r="G34" s="124">
        <v>0.9</v>
      </c>
      <c r="H34" s="124">
        <v>0.9</v>
      </c>
      <c r="I34" s="124">
        <v>0.9</v>
      </c>
      <c r="J34" s="124">
        <v>0.9</v>
      </c>
      <c r="K34" s="124">
        <v>0.9</v>
      </c>
      <c r="L34" s="124">
        <v>0.9</v>
      </c>
      <c r="M34" s="124">
        <v>0.9</v>
      </c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</row>
    <row r="35" spans="1:28" x14ac:dyDescent="0.2">
      <c r="A35" s="122" t="s">
        <v>425</v>
      </c>
      <c r="B35" s="124">
        <v>0.9</v>
      </c>
      <c r="C35" s="124">
        <v>0.9</v>
      </c>
      <c r="D35" s="124">
        <v>0.9</v>
      </c>
      <c r="E35" s="124">
        <v>0.9</v>
      </c>
      <c r="F35" s="124">
        <v>0.9</v>
      </c>
      <c r="G35" s="124">
        <v>0.9</v>
      </c>
      <c r="H35" s="124">
        <v>0.9</v>
      </c>
      <c r="I35" s="124">
        <v>0.9</v>
      </c>
      <c r="J35" s="124">
        <v>0.9</v>
      </c>
      <c r="K35" s="124">
        <v>0.9</v>
      </c>
      <c r="L35" s="124">
        <v>0.9</v>
      </c>
      <c r="M35" s="124">
        <v>0.9</v>
      </c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</row>
    <row r="36" spans="1:28" x14ac:dyDescent="0.2">
      <c r="A36" s="122" t="s">
        <v>152</v>
      </c>
      <c r="B36" s="124">
        <v>0.9</v>
      </c>
      <c r="C36" s="124">
        <v>0.9</v>
      </c>
      <c r="D36" s="124">
        <v>0.9</v>
      </c>
      <c r="E36" s="124">
        <v>0.9</v>
      </c>
      <c r="F36" s="124">
        <v>0.9</v>
      </c>
      <c r="G36" s="124">
        <v>0.9</v>
      </c>
      <c r="H36" s="124">
        <v>0.9</v>
      </c>
      <c r="I36" s="124">
        <v>0.9</v>
      </c>
      <c r="J36" s="124">
        <v>0.9</v>
      </c>
      <c r="K36" s="124">
        <v>0.9</v>
      </c>
      <c r="L36" s="124">
        <v>0.9</v>
      </c>
      <c r="M36" s="124">
        <v>0.9</v>
      </c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</row>
    <row r="37" spans="1:28" x14ac:dyDescent="0.2">
      <c r="A37" s="122" t="s">
        <v>160</v>
      </c>
      <c r="B37" s="124">
        <v>0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</row>
    <row r="38" spans="1:28" x14ac:dyDescent="0.2">
      <c r="A38" s="122" t="s">
        <v>480</v>
      </c>
      <c r="B38" s="124">
        <v>0.39</v>
      </c>
      <c r="C38" s="124">
        <v>0.5</v>
      </c>
      <c r="D38" s="124">
        <v>0.55000000000000004</v>
      </c>
      <c r="E38" s="124">
        <v>0.6</v>
      </c>
      <c r="F38" s="124">
        <v>0.65</v>
      </c>
      <c r="G38" s="124">
        <v>0.7</v>
      </c>
      <c r="H38" s="124">
        <v>0.75</v>
      </c>
      <c r="I38" s="124">
        <v>0.8</v>
      </c>
      <c r="J38" s="124">
        <v>0.85</v>
      </c>
      <c r="K38" s="124">
        <v>0.9</v>
      </c>
      <c r="L38" s="124">
        <v>0.9</v>
      </c>
      <c r="M38" s="124">
        <v>0.9</v>
      </c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</row>
    <row r="39" spans="1:28" x14ac:dyDescent="0.2">
      <c r="A39" s="122" t="s">
        <v>159</v>
      </c>
      <c r="B39" s="124">
        <v>0.9</v>
      </c>
      <c r="C39" s="124">
        <v>0.9</v>
      </c>
      <c r="D39" s="124">
        <v>0.9</v>
      </c>
      <c r="E39" s="124">
        <v>0.9</v>
      </c>
      <c r="F39" s="124">
        <v>0.9</v>
      </c>
      <c r="G39" s="124">
        <v>0.9</v>
      </c>
      <c r="H39" s="124">
        <v>0.9</v>
      </c>
      <c r="I39" s="124">
        <v>0.9</v>
      </c>
      <c r="J39" s="124">
        <v>0.9</v>
      </c>
      <c r="K39" s="124">
        <v>0.9</v>
      </c>
      <c r="L39" s="124">
        <v>0.9</v>
      </c>
      <c r="M39" s="124">
        <v>0.9</v>
      </c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</row>
    <row r="40" spans="1:28" x14ac:dyDescent="0.2">
      <c r="A40" s="122" t="s">
        <v>482</v>
      </c>
      <c r="B40" s="123">
        <f>($D$9*B34+$D$10*B35+$D$11*B36+$D$12*B37+$C$13*$B$19*B38)*B39</f>
        <v>5483.16</v>
      </c>
      <c r="C40" s="123">
        <f t="shared" ref="C40:M40" si="1">($D$9*C34+$D$10*C35+$D$11*C36+$D$12*C37+$C$13*$B$19*C38)*C39</f>
        <v>5582.16</v>
      </c>
      <c r="D40" s="123">
        <f t="shared" si="1"/>
        <v>5627.16</v>
      </c>
      <c r="E40" s="123">
        <f t="shared" si="1"/>
        <v>5672.16</v>
      </c>
      <c r="F40" s="123">
        <f t="shared" si="1"/>
        <v>5717.16</v>
      </c>
      <c r="G40" s="123">
        <f t="shared" si="1"/>
        <v>5762.16</v>
      </c>
      <c r="H40" s="123">
        <f t="shared" si="1"/>
        <v>5807.16</v>
      </c>
      <c r="I40" s="123">
        <f t="shared" si="1"/>
        <v>5852.16</v>
      </c>
      <c r="J40" s="123">
        <f t="shared" si="1"/>
        <v>5897.16</v>
      </c>
      <c r="K40" s="123">
        <f t="shared" si="1"/>
        <v>5942.16</v>
      </c>
      <c r="L40" s="123">
        <f t="shared" si="1"/>
        <v>5942.16</v>
      </c>
      <c r="M40" s="123">
        <f t="shared" si="1"/>
        <v>5942.16</v>
      </c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</row>
    <row r="41" spans="1:28" x14ac:dyDescent="0.2">
      <c r="A41" s="122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38"/>
      <c r="Q41" s="138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</row>
    <row r="42" spans="1:28" s="126" customFormat="1" ht="12" x14ac:dyDescent="0.2">
      <c r="B42" s="126" t="s">
        <v>164</v>
      </c>
      <c r="C42" s="126" t="s">
        <v>165</v>
      </c>
      <c r="D42" s="126" t="s">
        <v>166</v>
      </c>
    </row>
    <row r="43" spans="1:28" x14ac:dyDescent="0.2">
      <c r="A43" s="122" t="s">
        <v>167</v>
      </c>
      <c r="B43" s="124">
        <v>0.03</v>
      </c>
      <c r="C43" s="124">
        <v>0.03</v>
      </c>
      <c r="D43" s="124">
        <v>0.03</v>
      </c>
    </row>
    <row r="44" spans="1:28" x14ac:dyDescent="0.2">
      <c r="A44" s="122"/>
      <c r="B44" s="124"/>
      <c r="C44" s="124"/>
      <c r="D44" s="124"/>
    </row>
    <row r="45" spans="1:28" x14ac:dyDescent="0.2">
      <c r="A45" s="152" t="s">
        <v>418</v>
      </c>
      <c r="B45" s="124"/>
      <c r="C45" s="124"/>
      <c r="D45" s="124"/>
    </row>
    <row r="46" spans="1:28" x14ac:dyDescent="0.2">
      <c r="A46" s="122" t="s">
        <v>477</v>
      </c>
      <c r="B46" s="124">
        <v>0.05</v>
      </c>
      <c r="C46" s="124"/>
      <c r="D46" s="124"/>
      <c r="I46" s="289" t="s">
        <v>478</v>
      </c>
      <c r="J46" s="289"/>
      <c r="K46" s="289"/>
      <c r="L46" s="289"/>
    </row>
    <row r="47" spans="1:28" x14ac:dyDescent="0.2">
      <c r="A47" s="122"/>
      <c r="B47" s="124"/>
      <c r="C47" s="124"/>
      <c r="D47" s="124"/>
      <c r="I47" s="289"/>
      <c r="J47" s="289"/>
      <c r="K47" s="289"/>
      <c r="L47" s="289"/>
    </row>
    <row r="48" spans="1:28" x14ac:dyDescent="0.2">
      <c r="D48" s="293" t="s">
        <v>257</v>
      </c>
      <c r="E48" s="293"/>
      <c r="F48" s="293"/>
      <c r="G48" s="293"/>
    </row>
    <row r="49" spans="1:12" x14ac:dyDescent="0.2">
      <c r="A49" s="152" t="s">
        <v>181</v>
      </c>
      <c r="B49" s="135" t="s">
        <v>182</v>
      </c>
      <c r="D49" s="147" t="s">
        <v>163</v>
      </c>
      <c r="E49" s="147" t="s">
        <v>164</v>
      </c>
      <c r="F49" s="147" t="s">
        <v>165</v>
      </c>
      <c r="G49" s="147" t="s">
        <v>166</v>
      </c>
      <c r="I49" s="286" t="s">
        <v>472</v>
      </c>
      <c r="J49" s="286"/>
      <c r="K49" s="286"/>
      <c r="L49" s="286"/>
    </row>
    <row r="50" spans="1:12" x14ac:dyDescent="0.2">
      <c r="B50" s="135"/>
      <c r="C50" s="122"/>
      <c r="D50" s="122"/>
      <c r="E50" s="122"/>
      <c r="F50" s="122"/>
      <c r="G50" s="122"/>
      <c r="H50" s="122"/>
    </row>
    <row r="51" spans="1:12" x14ac:dyDescent="0.2">
      <c r="A51" s="152" t="s">
        <v>215</v>
      </c>
      <c r="B51" s="186">
        <v>500</v>
      </c>
      <c r="C51" s="176"/>
      <c r="D51" s="143">
        <v>0.03</v>
      </c>
      <c r="E51" s="143">
        <v>0.03</v>
      </c>
      <c r="F51" s="143">
        <v>0.03</v>
      </c>
      <c r="G51" s="143">
        <v>0.03</v>
      </c>
      <c r="I51" s="176" t="s">
        <v>461</v>
      </c>
    </row>
    <row r="52" spans="1:12" x14ac:dyDescent="0.2">
      <c r="A52" s="152" t="s">
        <v>519</v>
      </c>
      <c r="B52" s="186">
        <v>400</v>
      </c>
      <c r="C52" s="176"/>
      <c r="D52" s="143">
        <v>0</v>
      </c>
      <c r="E52" s="143">
        <v>0</v>
      </c>
      <c r="F52" s="143">
        <v>0</v>
      </c>
      <c r="G52" s="143">
        <v>0</v>
      </c>
      <c r="H52" s="122"/>
      <c r="I52" s="176" t="s">
        <v>461</v>
      </c>
    </row>
    <row r="53" spans="1:12" x14ac:dyDescent="0.2">
      <c r="A53" s="122"/>
      <c r="B53" s="188"/>
      <c r="C53" s="176"/>
      <c r="D53" s="122"/>
      <c r="E53" s="122"/>
      <c r="F53" s="122"/>
      <c r="G53" s="122"/>
    </row>
    <row r="54" spans="1:12" x14ac:dyDescent="0.2">
      <c r="A54" s="152" t="s">
        <v>214</v>
      </c>
      <c r="B54" s="177"/>
      <c r="C54" s="176"/>
      <c r="D54" s="122"/>
      <c r="E54" s="122"/>
      <c r="F54" s="122"/>
      <c r="G54" s="122"/>
      <c r="I54" s="176" t="s">
        <v>461</v>
      </c>
    </row>
    <row r="55" spans="1:12" x14ac:dyDescent="0.2">
      <c r="A55" s="122" t="s">
        <v>191</v>
      </c>
      <c r="B55" s="186">
        <v>500</v>
      </c>
      <c r="C55" s="176"/>
      <c r="D55" s="143">
        <v>0.03</v>
      </c>
      <c r="E55" s="143">
        <v>0.03</v>
      </c>
      <c r="F55" s="143">
        <v>0.03</v>
      </c>
      <c r="G55" s="143">
        <v>0.03</v>
      </c>
    </row>
    <row r="56" spans="1:12" x14ac:dyDescent="0.2">
      <c r="A56" s="122" t="s">
        <v>192</v>
      </c>
      <c r="B56" s="186">
        <v>0</v>
      </c>
      <c r="C56" s="176"/>
      <c r="D56" s="143">
        <v>0.03</v>
      </c>
      <c r="E56" s="143">
        <v>0.03</v>
      </c>
      <c r="F56" s="143">
        <v>0.03</v>
      </c>
      <c r="G56" s="143">
        <v>0.03</v>
      </c>
    </row>
    <row r="57" spans="1:12" x14ac:dyDescent="0.2">
      <c r="A57" s="122"/>
      <c r="B57" s="177"/>
      <c r="C57" s="176"/>
      <c r="D57" s="176"/>
      <c r="E57" s="176"/>
      <c r="F57" s="176"/>
      <c r="G57" s="176"/>
    </row>
    <row r="58" spans="1:12" x14ac:dyDescent="0.2">
      <c r="A58" s="152" t="s">
        <v>218</v>
      </c>
      <c r="B58" s="187" t="s">
        <v>213</v>
      </c>
      <c r="C58" s="176"/>
      <c r="D58" s="176"/>
      <c r="E58" s="176"/>
      <c r="F58" s="176"/>
      <c r="G58" s="176"/>
      <c r="I58" s="176"/>
    </row>
    <row r="59" spans="1:12" x14ac:dyDescent="0.2">
      <c r="A59" s="122" t="s">
        <v>219</v>
      </c>
      <c r="B59" s="186">
        <v>412</v>
      </c>
      <c r="C59" s="176"/>
      <c r="D59" s="143">
        <v>0.03</v>
      </c>
      <c r="E59" s="143">
        <v>0.03</v>
      </c>
      <c r="F59" s="143">
        <v>0.03</v>
      </c>
      <c r="G59" s="143">
        <v>0.03</v>
      </c>
      <c r="I59" s="176" t="s">
        <v>524</v>
      </c>
    </row>
    <row r="60" spans="1:12" x14ac:dyDescent="0.2">
      <c r="A60" s="122" t="s">
        <v>222</v>
      </c>
      <c r="B60" s="186">
        <v>1200</v>
      </c>
      <c r="C60" s="176"/>
      <c r="D60" s="143">
        <v>0.03</v>
      </c>
      <c r="E60" s="143">
        <v>0.03</v>
      </c>
      <c r="F60" s="143">
        <v>0.03</v>
      </c>
      <c r="G60" s="143">
        <v>0.03</v>
      </c>
      <c r="I60" s="176" t="s">
        <v>524</v>
      </c>
    </row>
    <row r="61" spans="1:12" x14ac:dyDescent="0.2">
      <c r="A61" s="122" t="s">
        <v>220</v>
      </c>
      <c r="B61" s="186">
        <v>500</v>
      </c>
      <c r="C61" s="176"/>
      <c r="D61" s="143">
        <v>0.03</v>
      </c>
      <c r="E61" s="143">
        <v>0.03</v>
      </c>
      <c r="F61" s="143">
        <v>0.03</v>
      </c>
      <c r="G61" s="143">
        <v>0.03</v>
      </c>
      <c r="I61" s="176" t="s">
        <v>524</v>
      </c>
    </row>
    <row r="62" spans="1:12" x14ac:dyDescent="0.2">
      <c r="A62" s="122" t="s">
        <v>221</v>
      </c>
      <c r="B62" s="186">
        <v>528</v>
      </c>
      <c r="C62" s="176"/>
      <c r="D62" s="143">
        <v>0.03</v>
      </c>
      <c r="E62" s="143">
        <v>0.03</v>
      </c>
      <c r="F62" s="143">
        <v>0.03</v>
      </c>
      <c r="G62" s="143">
        <v>0.03</v>
      </c>
      <c r="I62" s="176" t="s">
        <v>524</v>
      </c>
    </row>
    <row r="63" spans="1:12" x14ac:dyDescent="0.2">
      <c r="A63" s="122" t="s">
        <v>515</v>
      </c>
      <c r="B63" s="186">
        <v>2500</v>
      </c>
      <c r="C63" s="176"/>
      <c r="D63" s="143">
        <v>0.03</v>
      </c>
      <c r="E63" s="143">
        <v>0.03</v>
      </c>
      <c r="F63" s="143">
        <v>0.03</v>
      </c>
      <c r="G63" s="143">
        <v>0.03</v>
      </c>
      <c r="I63" s="176" t="s">
        <v>524</v>
      </c>
    </row>
    <row r="64" spans="1:12" x14ac:dyDescent="0.2">
      <c r="A64" s="122" t="s">
        <v>235</v>
      </c>
      <c r="B64" s="186">
        <v>0</v>
      </c>
      <c r="C64" s="176"/>
      <c r="D64" s="143">
        <v>0.03</v>
      </c>
      <c r="E64" s="143">
        <v>0.03</v>
      </c>
      <c r="F64" s="143">
        <v>0.03</v>
      </c>
      <c r="G64" s="143">
        <v>0.03</v>
      </c>
      <c r="I64" s="176" t="s">
        <v>461</v>
      </c>
    </row>
    <row r="65" spans="1:9" x14ac:dyDescent="0.2">
      <c r="A65" s="122"/>
      <c r="B65" s="188"/>
      <c r="C65" s="176"/>
      <c r="D65" s="176"/>
      <c r="E65" s="176"/>
      <c r="F65" s="176"/>
      <c r="G65" s="176"/>
    </row>
    <row r="66" spans="1:9" x14ac:dyDescent="0.2">
      <c r="A66" s="152" t="s">
        <v>198</v>
      </c>
      <c r="B66" s="187" t="s">
        <v>213</v>
      </c>
      <c r="C66" s="176"/>
      <c r="D66" s="176"/>
      <c r="E66" s="176"/>
      <c r="F66" s="176"/>
      <c r="G66" s="176"/>
    </row>
    <row r="67" spans="1:9" x14ac:dyDescent="0.2">
      <c r="A67" s="122" t="s">
        <v>541</v>
      </c>
      <c r="B67" s="189">
        <f>6369+6173+12724</f>
        <v>25266</v>
      </c>
      <c r="C67" s="122"/>
      <c r="D67" s="143">
        <v>0.05</v>
      </c>
      <c r="E67" s="143">
        <v>0.05</v>
      </c>
      <c r="F67" s="143">
        <v>0.05</v>
      </c>
      <c r="G67" s="143">
        <v>0.05</v>
      </c>
      <c r="I67" s="176" t="s">
        <v>524</v>
      </c>
    </row>
    <row r="68" spans="1:9" x14ac:dyDescent="0.2">
      <c r="A68" s="122" t="s">
        <v>537</v>
      </c>
      <c r="B68" s="186">
        <v>487</v>
      </c>
      <c r="C68" s="122"/>
      <c r="D68" s="143">
        <v>0.05</v>
      </c>
      <c r="E68" s="143">
        <v>0.05</v>
      </c>
      <c r="F68" s="143">
        <v>0.05</v>
      </c>
      <c r="G68" s="143">
        <v>0.05</v>
      </c>
      <c r="I68" s="176" t="s">
        <v>524</v>
      </c>
    </row>
    <row r="69" spans="1:9" x14ac:dyDescent="0.2">
      <c r="A69" s="122" t="s">
        <v>229</v>
      </c>
      <c r="B69" s="186">
        <v>275</v>
      </c>
      <c r="C69" s="122"/>
      <c r="D69" s="143">
        <v>0.05</v>
      </c>
      <c r="E69" s="143">
        <v>0.05</v>
      </c>
      <c r="F69" s="143">
        <v>0.05</v>
      </c>
      <c r="G69" s="143">
        <v>0.05</v>
      </c>
      <c r="I69" s="176" t="s">
        <v>524</v>
      </c>
    </row>
    <row r="70" spans="1:9" x14ac:dyDescent="0.2">
      <c r="A70" s="122" t="s">
        <v>538</v>
      </c>
      <c r="B70" s="186">
        <v>167</v>
      </c>
      <c r="C70" s="122"/>
      <c r="D70" s="143">
        <v>0.05</v>
      </c>
      <c r="E70" s="143">
        <v>0.05</v>
      </c>
      <c r="F70" s="143">
        <v>0.05</v>
      </c>
      <c r="G70" s="143">
        <v>0.05</v>
      </c>
      <c r="I70" s="176" t="s">
        <v>524</v>
      </c>
    </row>
    <row r="71" spans="1:9" x14ac:dyDescent="0.2">
      <c r="A71" s="122" t="s">
        <v>536</v>
      </c>
      <c r="B71" s="186">
        <v>351</v>
      </c>
      <c r="C71" s="122"/>
      <c r="D71" s="143">
        <v>0.05</v>
      </c>
      <c r="E71" s="143">
        <v>0.05</v>
      </c>
      <c r="F71" s="143">
        <v>0.05</v>
      </c>
      <c r="G71" s="143">
        <v>0.05</v>
      </c>
      <c r="I71" s="176" t="s">
        <v>524</v>
      </c>
    </row>
    <row r="72" spans="1:9" x14ac:dyDescent="0.2">
      <c r="A72" s="122" t="s">
        <v>535</v>
      </c>
      <c r="B72" s="186">
        <f>1449*5</f>
        <v>7245</v>
      </c>
      <c r="C72" s="122"/>
      <c r="D72" s="143">
        <v>0.05</v>
      </c>
      <c r="E72" s="143">
        <v>0.05</v>
      </c>
      <c r="F72" s="143">
        <v>0.05</v>
      </c>
      <c r="G72" s="143">
        <v>0.05</v>
      </c>
      <c r="I72" s="176" t="s">
        <v>539</v>
      </c>
    </row>
    <row r="73" spans="1:9" x14ac:dyDescent="0.2">
      <c r="A73" s="122" t="s">
        <v>199</v>
      </c>
      <c r="B73" s="283" t="s">
        <v>517</v>
      </c>
      <c r="C73" s="147"/>
      <c r="D73" s="122"/>
      <c r="E73" s="122"/>
      <c r="F73" s="122"/>
      <c r="G73" s="122"/>
      <c r="I73" s="176" t="s">
        <v>463</v>
      </c>
    </row>
    <row r="74" spans="1:9" x14ac:dyDescent="0.2">
      <c r="B74" s="177"/>
      <c r="C74" s="176"/>
      <c r="D74" s="176"/>
      <c r="E74" s="176"/>
      <c r="F74" s="176"/>
      <c r="G74" s="176"/>
    </row>
    <row r="75" spans="1:9" x14ac:dyDescent="0.2">
      <c r="A75" s="152" t="s">
        <v>105</v>
      </c>
      <c r="B75" s="187" t="s">
        <v>213</v>
      </c>
      <c r="C75" s="122"/>
      <c r="D75" s="122"/>
      <c r="E75" s="122"/>
      <c r="F75" s="122"/>
      <c r="G75" s="122"/>
    </row>
    <row r="76" spans="1:9" x14ac:dyDescent="0.2">
      <c r="A76" s="122" t="s">
        <v>406</v>
      </c>
      <c r="B76" s="186">
        <v>4700</v>
      </c>
      <c r="C76" s="122"/>
      <c r="D76" s="143">
        <v>0.03</v>
      </c>
      <c r="E76" s="143">
        <v>0.03</v>
      </c>
      <c r="F76" s="143">
        <v>0.03</v>
      </c>
      <c r="G76" s="143">
        <v>0.03</v>
      </c>
      <c r="I76" s="176" t="s">
        <v>471</v>
      </c>
    </row>
    <row r="77" spans="1:9" x14ac:dyDescent="0.2">
      <c r="B77" s="186"/>
      <c r="C77" s="122"/>
      <c r="D77" s="122"/>
      <c r="E77" s="122"/>
      <c r="F77" s="122"/>
      <c r="G77" s="122"/>
    </row>
    <row r="78" spans="1:9" x14ac:dyDescent="0.2">
      <c r="A78" s="152" t="s">
        <v>104</v>
      </c>
      <c r="B78" s="187" t="s">
        <v>213</v>
      </c>
      <c r="C78" s="176"/>
      <c r="D78" s="176"/>
      <c r="E78" s="176"/>
      <c r="F78" s="176"/>
      <c r="G78" s="176"/>
      <c r="I78" s="176" t="s">
        <v>471</v>
      </c>
    </row>
    <row r="79" spans="1:9" x14ac:dyDescent="0.2">
      <c r="A79" s="122" t="s">
        <v>207</v>
      </c>
      <c r="B79" s="186">
        <v>9500</v>
      </c>
      <c r="C79" s="176"/>
      <c r="D79" s="143">
        <v>0.03</v>
      </c>
      <c r="E79" s="143">
        <v>0.1</v>
      </c>
      <c r="F79" s="143">
        <v>0.03</v>
      </c>
      <c r="G79" s="143">
        <v>0.03</v>
      </c>
    </row>
    <row r="80" spans="1:9" x14ac:dyDescent="0.2">
      <c r="A80" s="122" t="s">
        <v>217</v>
      </c>
      <c r="B80" s="186">
        <v>450</v>
      </c>
      <c r="C80" s="176"/>
      <c r="D80" s="143">
        <v>0.03</v>
      </c>
      <c r="E80" s="143">
        <v>0.03</v>
      </c>
      <c r="F80" s="143">
        <v>0.03</v>
      </c>
      <c r="G80" s="143">
        <v>0.03</v>
      </c>
    </row>
    <row r="81" spans="1:9" x14ac:dyDescent="0.2">
      <c r="A81" s="122" t="s">
        <v>401</v>
      </c>
      <c r="B81" s="186">
        <v>900</v>
      </c>
      <c r="C81" s="176"/>
      <c r="D81" s="143">
        <v>0.03</v>
      </c>
      <c r="E81" s="143">
        <v>0.03</v>
      </c>
      <c r="F81" s="143">
        <v>0.03</v>
      </c>
      <c r="G81" s="143">
        <v>0.03</v>
      </c>
    </row>
    <row r="82" spans="1:9" x14ac:dyDescent="0.2">
      <c r="A82" s="122" t="s">
        <v>233</v>
      </c>
      <c r="B82" s="177">
        <v>0</v>
      </c>
      <c r="C82" s="176"/>
      <c r="D82" s="143">
        <v>0.03</v>
      </c>
      <c r="E82" s="143">
        <v>0.03</v>
      </c>
      <c r="F82" s="143">
        <v>0.03</v>
      </c>
      <c r="G82" s="143">
        <v>0.03</v>
      </c>
    </row>
    <row r="83" spans="1:9" x14ac:dyDescent="0.2">
      <c r="A83" s="122" t="s">
        <v>236</v>
      </c>
      <c r="B83" s="186">
        <v>650</v>
      </c>
      <c r="C83" s="176"/>
      <c r="D83" s="143">
        <v>0.03</v>
      </c>
      <c r="E83" s="143">
        <v>0.03</v>
      </c>
      <c r="F83" s="143">
        <v>0.03</v>
      </c>
      <c r="G83" s="143">
        <v>0.03</v>
      </c>
    </row>
    <row r="84" spans="1:9" x14ac:dyDescent="0.2">
      <c r="A84" s="122" t="s">
        <v>402</v>
      </c>
      <c r="B84" s="186">
        <v>250</v>
      </c>
      <c r="C84" s="176"/>
      <c r="D84" s="143">
        <v>0.03</v>
      </c>
      <c r="E84" s="143">
        <v>0.03</v>
      </c>
      <c r="F84" s="143">
        <v>0.03</v>
      </c>
      <c r="G84" s="143">
        <v>0.03</v>
      </c>
    </row>
    <row r="85" spans="1:9" x14ac:dyDescent="0.2">
      <c r="A85" s="122"/>
      <c r="B85" s="177"/>
      <c r="C85" s="176"/>
      <c r="D85" s="122"/>
      <c r="E85" s="122"/>
      <c r="F85" s="122"/>
      <c r="G85" s="122"/>
    </row>
    <row r="86" spans="1:9" x14ac:dyDescent="0.2">
      <c r="A86" s="152" t="s">
        <v>225</v>
      </c>
      <c r="B86" s="187" t="s">
        <v>213</v>
      </c>
      <c r="C86" s="176"/>
      <c r="D86" s="122"/>
      <c r="E86" s="122"/>
      <c r="F86" s="122"/>
      <c r="G86" s="122"/>
    </row>
    <row r="87" spans="1:9" x14ac:dyDescent="0.2">
      <c r="A87" s="122" t="s">
        <v>228</v>
      </c>
      <c r="B87" s="186">
        <v>2500</v>
      </c>
      <c r="C87" s="176"/>
      <c r="D87" s="143">
        <v>0.06</v>
      </c>
      <c r="E87" s="143">
        <v>0.04</v>
      </c>
      <c r="F87" s="143">
        <v>0.03</v>
      </c>
      <c r="G87" s="143">
        <v>0.03</v>
      </c>
      <c r="I87" s="176" t="s">
        <v>473</v>
      </c>
    </row>
    <row r="88" spans="1:9" x14ac:dyDescent="0.2">
      <c r="A88" s="122" t="s">
        <v>229</v>
      </c>
      <c r="B88" s="186">
        <v>1600</v>
      </c>
      <c r="C88" s="176"/>
      <c r="D88" s="143">
        <v>0.06</v>
      </c>
      <c r="E88" s="143">
        <v>0.04</v>
      </c>
      <c r="F88" s="143">
        <v>0.03</v>
      </c>
      <c r="G88" s="143">
        <v>0.03</v>
      </c>
      <c r="I88" s="176" t="s">
        <v>473</v>
      </c>
    </row>
    <row r="89" spans="1:9" x14ac:dyDescent="0.2">
      <c r="A89" s="122" t="s">
        <v>230</v>
      </c>
      <c r="B89" s="186">
        <v>100</v>
      </c>
      <c r="C89" s="176"/>
      <c r="D89" s="143">
        <v>0.06</v>
      </c>
      <c r="E89" s="143">
        <v>0.04</v>
      </c>
      <c r="F89" s="143">
        <v>0.03</v>
      </c>
      <c r="G89" s="143">
        <v>0.03</v>
      </c>
      <c r="I89" s="176" t="s">
        <v>473</v>
      </c>
    </row>
    <row r="90" spans="1:9" x14ac:dyDescent="0.2">
      <c r="A90" s="122"/>
      <c r="B90" s="177"/>
      <c r="C90" s="176"/>
      <c r="D90" s="122"/>
      <c r="E90" s="122"/>
      <c r="F90" s="122"/>
      <c r="G90" s="122"/>
    </row>
    <row r="91" spans="1:9" x14ac:dyDescent="0.2">
      <c r="A91" s="152" t="s">
        <v>208</v>
      </c>
      <c r="B91" s="187" t="s">
        <v>213</v>
      </c>
      <c r="C91" s="176"/>
      <c r="D91" s="122"/>
      <c r="E91" s="122"/>
      <c r="F91" s="122"/>
      <c r="G91" s="122"/>
    </row>
    <row r="92" spans="1:9" x14ac:dyDescent="0.2">
      <c r="A92" s="122" t="s">
        <v>209</v>
      </c>
      <c r="B92" s="186">
        <v>1000</v>
      </c>
      <c r="C92" s="176"/>
      <c r="D92" s="143">
        <v>0.05</v>
      </c>
      <c r="E92" s="143">
        <v>0.05</v>
      </c>
      <c r="F92" s="143">
        <v>0.05</v>
      </c>
      <c r="G92" s="143">
        <v>0.05</v>
      </c>
      <c r="I92" s="176" t="s">
        <v>474</v>
      </c>
    </row>
    <row r="93" spans="1:9" x14ac:dyDescent="0.2">
      <c r="A93" s="122" t="s">
        <v>210</v>
      </c>
      <c r="B93" s="186">
        <f>3000+1000</f>
        <v>4000</v>
      </c>
      <c r="C93" s="122" t="s">
        <v>412</v>
      </c>
      <c r="D93" s="143">
        <v>0.05</v>
      </c>
      <c r="E93" s="143">
        <v>0.05</v>
      </c>
      <c r="F93" s="143">
        <v>0.05</v>
      </c>
      <c r="G93" s="143">
        <v>0.05</v>
      </c>
      <c r="I93" s="176" t="s">
        <v>474</v>
      </c>
    </row>
    <row r="94" spans="1:9" x14ac:dyDescent="0.2">
      <c r="A94" s="122" t="s">
        <v>211</v>
      </c>
      <c r="B94" s="186">
        <v>5000</v>
      </c>
      <c r="C94" s="176"/>
      <c r="D94" s="143">
        <v>0.05</v>
      </c>
      <c r="E94" s="143">
        <v>0.05</v>
      </c>
      <c r="F94" s="143">
        <v>0.05</v>
      </c>
      <c r="G94" s="143">
        <v>0.05</v>
      </c>
      <c r="I94" s="176" t="s">
        <v>474</v>
      </c>
    </row>
    <row r="95" spans="1:9" x14ac:dyDescent="0.2">
      <c r="A95" s="122" t="s">
        <v>212</v>
      </c>
      <c r="B95" s="186">
        <f>9000+1300+500</f>
        <v>10800</v>
      </c>
      <c r="C95" s="176"/>
      <c r="D95" s="143">
        <v>0.05</v>
      </c>
      <c r="E95" s="143">
        <v>0.05</v>
      </c>
      <c r="F95" s="143">
        <v>0.05</v>
      </c>
      <c r="G95" s="143">
        <v>0.05</v>
      </c>
      <c r="I95" s="176" t="s">
        <v>471</v>
      </c>
    </row>
    <row r="96" spans="1:9" x14ac:dyDescent="0.2">
      <c r="A96" s="122"/>
      <c r="B96" s="177"/>
      <c r="C96" s="176"/>
      <c r="D96" s="143"/>
      <c r="E96" s="143"/>
      <c r="F96" s="143"/>
      <c r="G96" s="143"/>
    </row>
    <row r="97" spans="1:9" x14ac:dyDescent="0.2">
      <c r="A97" s="152" t="s">
        <v>403</v>
      </c>
      <c r="B97" s="177"/>
      <c r="C97" s="176"/>
      <c r="D97" s="143"/>
      <c r="E97" s="143"/>
      <c r="F97" s="143"/>
      <c r="G97" s="143"/>
    </row>
    <row r="98" spans="1:9" x14ac:dyDescent="0.2">
      <c r="A98" s="122" t="s">
        <v>404</v>
      </c>
      <c r="B98" s="186">
        <v>2000</v>
      </c>
      <c r="C98" s="176"/>
      <c r="D98" s="143">
        <v>0.05</v>
      </c>
      <c r="E98" s="143">
        <v>0.05</v>
      </c>
      <c r="F98" s="143">
        <v>0.05</v>
      </c>
      <c r="G98" s="143">
        <v>0.05</v>
      </c>
      <c r="I98" s="176" t="s">
        <v>474</v>
      </c>
    </row>
    <row r="99" spans="1:9" x14ac:dyDescent="0.2">
      <c r="A99" s="122" t="s">
        <v>405</v>
      </c>
      <c r="B99" s="186">
        <v>5000</v>
      </c>
      <c r="C99" s="176"/>
      <c r="D99" s="143">
        <v>0.05</v>
      </c>
      <c r="E99" s="143">
        <v>0.05</v>
      </c>
      <c r="F99" s="143">
        <v>0.05</v>
      </c>
      <c r="G99" s="143">
        <v>0.05</v>
      </c>
      <c r="I99" s="176" t="s">
        <v>474</v>
      </c>
    </row>
    <row r="100" spans="1:9" x14ac:dyDescent="0.2">
      <c r="A100" s="122"/>
      <c r="B100" s="177"/>
      <c r="C100" s="176"/>
      <c r="D100" s="143"/>
      <c r="E100" s="143"/>
      <c r="F100" s="143"/>
      <c r="G100" s="143"/>
    </row>
    <row r="101" spans="1:9" x14ac:dyDescent="0.2">
      <c r="A101" s="152" t="s">
        <v>238</v>
      </c>
      <c r="B101" s="187" t="s">
        <v>213</v>
      </c>
      <c r="C101" s="176"/>
      <c r="D101" s="122"/>
      <c r="E101" s="122"/>
      <c r="F101" s="122"/>
      <c r="G101" s="122"/>
    </row>
    <row r="102" spans="1:9" x14ac:dyDescent="0.2">
      <c r="A102" s="122" t="s">
        <v>239</v>
      </c>
      <c r="B102" s="186">
        <f>150+600</f>
        <v>750</v>
      </c>
      <c r="C102" s="176"/>
      <c r="D102" s="143">
        <v>0.03</v>
      </c>
      <c r="E102" s="143">
        <v>0.03</v>
      </c>
      <c r="F102" s="143">
        <v>0.03</v>
      </c>
      <c r="G102" s="143">
        <v>0.03</v>
      </c>
      <c r="I102" s="176" t="s">
        <v>474</v>
      </c>
    </row>
    <row r="103" spans="1:9" x14ac:dyDescent="0.2">
      <c r="A103" s="122" t="s">
        <v>237</v>
      </c>
      <c r="B103" s="186">
        <f>17500</f>
        <v>17500</v>
      </c>
      <c r="C103" s="176"/>
      <c r="D103" s="143">
        <v>0.03</v>
      </c>
      <c r="E103" s="143">
        <v>0.03</v>
      </c>
      <c r="F103" s="143">
        <v>0.03</v>
      </c>
      <c r="G103" s="143">
        <v>0.03</v>
      </c>
      <c r="I103" s="176" t="s">
        <v>471</v>
      </c>
    </row>
    <row r="104" spans="1:9" x14ac:dyDescent="0.2">
      <c r="A104" s="122" t="s">
        <v>240</v>
      </c>
      <c r="B104" s="186">
        <v>50</v>
      </c>
      <c r="C104" s="176"/>
      <c r="D104" s="143">
        <v>0.03</v>
      </c>
      <c r="E104" s="143">
        <v>0.03</v>
      </c>
      <c r="F104" s="143">
        <v>0.03</v>
      </c>
      <c r="G104" s="143">
        <v>0.03</v>
      </c>
      <c r="I104" s="176" t="s">
        <v>474</v>
      </c>
    </row>
    <row r="105" spans="1:9" x14ac:dyDescent="0.2">
      <c r="A105" s="122" t="s">
        <v>243</v>
      </c>
      <c r="B105" s="186"/>
      <c r="C105" s="176"/>
      <c r="D105" s="143">
        <v>0.03</v>
      </c>
      <c r="E105" s="143">
        <v>0.03</v>
      </c>
      <c r="F105" s="143">
        <v>0.03</v>
      </c>
      <c r="G105" s="143">
        <v>0.03</v>
      </c>
      <c r="I105" s="176" t="s">
        <v>474</v>
      </c>
    </row>
    <row r="106" spans="1:9" x14ac:dyDescent="0.2">
      <c r="A106" s="122" t="s">
        <v>244</v>
      </c>
      <c r="B106" s="186">
        <v>50</v>
      </c>
      <c r="C106" s="176"/>
      <c r="D106" s="143">
        <v>0.03</v>
      </c>
      <c r="E106" s="143">
        <v>0.03</v>
      </c>
      <c r="F106" s="143">
        <v>0.03</v>
      </c>
      <c r="G106" s="143">
        <v>0.03</v>
      </c>
      <c r="I106" s="176" t="s">
        <v>474</v>
      </c>
    </row>
    <row r="107" spans="1:9" x14ac:dyDescent="0.2">
      <c r="A107" s="122" t="s">
        <v>248</v>
      </c>
      <c r="B107" s="186">
        <f>50+65</f>
        <v>115</v>
      </c>
      <c r="C107" s="176"/>
      <c r="D107" s="143">
        <v>0.03</v>
      </c>
      <c r="E107" s="143">
        <v>0.03</v>
      </c>
      <c r="F107" s="143">
        <v>0.03</v>
      </c>
      <c r="G107" s="143">
        <v>0.03</v>
      </c>
      <c r="I107" s="176" t="s">
        <v>474</v>
      </c>
    </row>
    <row r="108" spans="1:9" x14ac:dyDescent="0.2">
      <c r="A108" s="122" t="s">
        <v>414</v>
      </c>
      <c r="B108" s="186">
        <v>500</v>
      </c>
      <c r="C108" s="176"/>
      <c r="D108" s="143">
        <v>0</v>
      </c>
      <c r="E108" s="143">
        <v>0</v>
      </c>
      <c r="F108" s="143">
        <v>0</v>
      </c>
      <c r="G108" s="143">
        <v>0</v>
      </c>
      <c r="I108" s="176" t="s">
        <v>469</v>
      </c>
    </row>
    <row r="109" spans="1:9" x14ac:dyDescent="0.2">
      <c r="A109" s="122" t="s">
        <v>242</v>
      </c>
      <c r="B109" s="186">
        <v>500</v>
      </c>
      <c r="C109" s="176"/>
      <c r="D109" s="143">
        <v>0.03</v>
      </c>
      <c r="E109" s="143">
        <v>0.03</v>
      </c>
      <c r="F109" s="143">
        <v>0.03</v>
      </c>
      <c r="G109" s="143">
        <v>0.03</v>
      </c>
      <c r="I109" s="176" t="s">
        <v>474</v>
      </c>
    </row>
    <row r="110" spans="1:9" x14ac:dyDescent="0.2">
      <c r="A110" s="122"/>
      <c r="B110" s="186"/>
      <c r="C110" s="176"/>
      <c r="D110" s="143"/>
      <c r="E110" s="143"/>
      <c r="F110" s="143"/>
      <c r="G110" s="143"/>
      <c r="I110" s="176"/>
    </row>
    <row r="111" spans="1:9" x14ac:dyDescent="0.2">
      <c r="A111" s="152" t="s">
        <v>421</v>
      </c>
      <c r="B111" s="187"/>
      <c r="C111" s="176"/>
      <c r="D111" s="122"/>
      <c r="E111" s="122"/>
      <c r="F111" s="122"/>
      <c r="G111" s="122"/>
    </row>
    <row r="112" spans="1:9" x14ac:dyDescent="0.2">
      <c r="A112" s="122" t="s">
        <v>422</v>
      </c>
      <c r="B112" s="143">
        <v>0.06</v>
      </c>
      <c r="C112" s="122" t="s">
        <v>423</v>
      </c>
      <c r="D112" s="143">
        <v>0</v>
      </c>
      <c r="E112" s="143">
        <v>0</v>
      </c>
      <c r="F112" s="143">
        <v>0</v>
      </c>
      <c r="G112" s="143">
        <v>0</v>
      </c>
      <c r="I112" s="176" t="s">
        <v>470</v>
      </c>
    </row>
    <row r="113" spans="1:9" s="122" customFormat="1" x14ac:dyDescent="0.2">
      <c r="B113" s="135"/>
    </row>
    <row r="114" spans="1:9" s="122" customFormat="1" x14ac:dyDescent="0.2">
      <c r="A114" s="152" t="s">
        <v>249</v>
      </c>
      <c r="B114" s="146"/>
      <c r="C114" s="146" t="s">
        <v>276</v>
      </c>
      <c r="I114" s="176" t="s">
        <v>277</v>
      </c>
    </row>
    <row r="115" spans="1:9" s="122" customFormat="1" x14ac:dyDescent="0.2">
      <c r="A115" s="122" t="s">
        <v>533</v>
      </c>
      <c r="B115" s="135">
        <v>7700000</v>
      </c>
      <c r="C115" s="179"/>
      <c r="D115" s="143"/>
      <c r="E115" s="143"/>
      <c r="F115" s="143"/>
      <c r="G115" s="143"/>
    </row>
    <row r="116" spans="1:9" s="122" customFormat="1" x14ac:dyDescent="0.2">
      <c r="A116" s="122" t="s">
        <v>532</v>
      </c>
      <c r="B116" s="143">
        <v>0.1</v>
      </c>
      <c r="C116" s="179">
        <v>0</v>
      </c>
      <c r="D116" s="143"/>
      <c r="E116" s="143"/>
      <c r="F116" s="143"/>
      <c r="G116" s="143"/>
    </row>
    <row r="117" spans="1:9" s="122" customFormat="1" x14ac:dyDescent="0.2">
      <c r="A117" s="122" t="s">
        <v>534</v>
      </c>
      <c r="B117" s="135"/>
      <c r="C117" s="179"/>
      <c r="D117" s="143">
        <v>0.03</v>
      </c>
      <c r="E117" s="143">
        <v>0.03</v>
      </c>
      <c r="F117" s="143">
        <v>0.03</v>
      </c>
      <c r="G117" s="143">
        <v>0.03</v>
      </c>
      <c r="I117" s="176" t="s">
        <v>555</v>
      </c>
    </row>
    <row r="118" spans="1:9" x14ac:dyDescent="0.2">
      <c r="D118" s="122"/>
      <c r="E118" s="122"/>
      <c r="F118" s="122"/>
      <c r="G118" s="122"/>
    </row>
  </sheetData>
  <mergeCells count="4">
    <mergeCell ref="D5:F5"/>
    <mergeCell ref="D48:G48"/>
    <mergeCell ref="I49:L49"/>
    <mergeCell ref="I46:L47"/>
  </mergeCells>
  <printOptions headings="1"/>
  <pageMargins left="0.31" right="0.3" top="0.5" bottom="0.28999999999999998" header="0.25" footer="0.06"/>
  <pageSetup scale="85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D031-7B8B-4774-A259-6F1963EA6916}">
  <sheetPr transitionEvaluation="1" transitionEntry="1">
    <tabColor rgb="FF00B050"/>
  </sheetPr>
  <dimension ref="A1:AT187"/>
  <sheetViews>
    <sheetView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N6" sqref="N6"/>
    </sheetView>
  </sheetViews>
  <sheetFormatPr defaultColWidth="9.140625" defaultRowHeight="12.75" outlineLevelCol="1" x14ac:dyDescent="0.2"/>
  <cols>
    <col min="1" max="1" width="29.140625" style="225" bestFit="1" customWidth="1"/>
    <col min="2" max="5" width="12" style="222" hidden="1" customWidth="1" outlineLevel="1"/>
    <col min="6" max="6" width="13.5703125" style="222" hidden="1" customWidth="1" outlineLevel="1"/>
    <col min="7" max="7" width="12" style="222" hidden="1" customWidth="1" outlineLevel="1"/>
    <col min="8" max="8" width="12.42578125" style="222" hidden="1" customWidth="1" outlineLevel="1"/>
    <col min="9" max="13" width="12" style="222" hidden="1" customWidth="1" outlineLevel="1"/>
    <col min="14" max="14" width="12" style="223" bestFit="1" customWidth="1" collapsed="1"/>
    <col min="15" max="18" width="12" style="222" hidden="1" customWidth="1" outlineLevel="1"/>
    <col min="19" max="19" width="13.5703125" style="222" hidden="1" customWidth="1" outlineLevel="1"/>
    <col min="20" max="20" width="12" style="222" hidden="1" customWidth="1" outlineLevel="1"/>
    <col min="21" max="21" width="12.42578125" style="222" hidden="1" customWidth="1" outlineLevel="1"/>
    <col min="22" max="26" width="12" style="222" hidden="1" customWidth="1" outlineLevel="1"/>
    <col min="27" max="27" width="15.7109375" style="222" bestFit="1" customWidth="1" collapsed="1"/>
    <col min="28" max="29" width="15.7109375" style="222" bestFit="1" customWidth="1"/>
    <col min="30" max="30" width="15.7109375" style="222" customWidth="1"/>
    <col min="31" max="16384" width="9.140625" style="222"/>
  </cols>
  <sheetData>
    <row r="1" spans="1:46" ht="18.75" x14ac:dyDescent="0.3">
      <c r="A1" s="221" t="s">
        <v>526</v>
      </c>
      <c r="B1" s="221"/>
    </row>
    <row r="2" spans="1:46" ht="18.75" x14ac:dyDescent="0.3">
      <c r="A2" s="221" t="s">
        <v>149</v>
      </c>
    </row>
    <row r="3" spans="1:46" ht="15.75" x14ac:dyDescent="0.25">
      <c r="A3" s="224" t="s">
        <v>14</v>
      </c>
      <c r="AA3" s="56"/>
      <c r="AB3" s="56"/>
      <c r="AC3" s="56"/>
      <c r="AD3" s="56"/>
    </row>
    <row r="4" spans="1:46" ht="13.9" customHeight="1" x14ac:dyDescent="0.2"/>
    <row r="5" spans="1:46" s="225" customFormat="1" ht="15.75" x14ac:dyDescent="0.25">
      <c r="B5" s="226">
        <v>1</v>
      </c>
      <c r="C5" s="226">
        <v>2</v>
      </c>
      <c r="D5" s="226">
        <v>3</v>
      </c>
      <c r="E5" s="226">
        <v>4</v>
      </c>
      <c r="F5" s="226">
        <v>5</v>
      </c>
      <c r="G5" s="226">
        <v>6</v>
      </c>
      <c r="H5" s="226">
        <v>7</v>
      </c>
      <c r="I5" s="226">
        <v>8</v>
      </c>
      <c r="J5" s="226">
        <v>9</v>
      </c>
      <c r="K5" s="226">
        <v>10</v>
      </c>
      <c r="L5" s="226">
        <v>11</v>
      </c>
      <c r="M5" s="226">
        <v>12</v>
      </c>
      <c r="N5" s="227" t="s">
        <v>125</v>
      </c>
      <c r="O5" s="226">
        <v>13</v>
      </c>
      <c r="P5" s="226">
        <v>14</v>
      </c>
      <c r="Q5" s="226">
        <v>15</v>
      </c>
      <c r="R5" s="226">
        <v>16</v>
      </c>
      <c r="S5" s="226">
        <v>17</v>
      </c>
      <c r="T5" s="226">
        <v>18</v>
      </c>
      <c r="U5" s="226">
        <v>19</v>
      </c>
      <c r="V5" s="226">
        <v>20</v>
      </c>
      <c r="W5" s="226">
        <v>21</v>
      </c>
      <c r="X5" s="226">
        <v>22</v>
      </c>
      <c r="Y5" s="226">
        <v>23</v>
      </c>
      <c r="Z5" s="226">
        <v>24</v>
      </c>
      <c r="AA5" s="228" t="s">
        <v>163</v>
      </c>
      <c r="AB5" s="228" t="s">
        <v>164</v>
      </c>
      <c r="AC5" s="228" t="s">
        <v>165</v>
      </c>
      <c r="AD5" s="228" t="s">
        <v>166</v>
      </c>
    </row>
    <row r="6" spans="1:46" ht="15" x14ac:dyDescent="0.25">
      <c r="A6" s="229" t="s">
        <v>255</v>
      </c>
    </row>
    <row r="7" spans="1:46" x14ac:dyDescent="0.2">
      <c r="A7" s="230" t="s">
        <v>491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0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</row>
    <row r="8" spans="1:46" x14ac:dyDescent="0.2">
      <c r="A8" s="232" t="s">
        <v>492</v>
      </c>
      <c r="B8" s="129">
        <f>'FSS Phase 1 P&amp;L'!B127</f>
        <v>0</v>
      </c>
      <c r="C8" s="129">
        <f>'FSS Phase 1 P&amp;L'!C127</f>
        <v>0</v>
      </c>
      <c r="D8" s="129">
        <f>'FSS Phase 1 P&amp;L'!D127</f>
        <v>90334.24</v>
      </c>
      <c r="E8" s="129">
        <f>'FSS Phase 1 P&amp;L'!E127</f>
        <v>180668.48</v>
      </c>
      <c r="F8" s="129">
        <f>'FSS Phase 1 P&amp;L'!F127</f>
        <v>271002.71999999997</v>
      </c>
      <c r="G8" s="129">
        <f>'FSS Phase 1 P&amp;L'!G127</f>
        <v>361336.96</v>
      </c>
      <c r="H8" s="129">
        <f>'FSS Phase 1 P&amp;L'!H127</f>
        <v>451671.19999999995</v>
      </c>
      <c r="I8" s="129">
        <f>'FSS Phase 1 P&amp;L'!I127</f>
        <v>542005.43999999994</v>
      </c>
      <c r="J8" s="129">
        <f>'FSS Phase 1 P&amp;L'!J127</f>
        <v>632339.67999999993</v>
      </c>
      <c r="K8" s="129">
        <f>'FSS Phase 1 P&amp;L'!K127</f>
        <v>722673.92</v>
      </c>
      <c r="L8" s="129">
        <f>'FSS Phase 1 P&amp;L'!L127</f>
        <v>813008.15999999992</v>
      </c>
      <c r="M8" s="129">
        <f>'FSS Phase 1 P&amp;L'!M127</f>
        <v>813008.15999999992</v>
      </c>
      <c r="N8" s="156">
        <f t="shared" ref="N8:N9" si="0">SUM(B8:M8)</f>
        <v>4878048.96</v>
      </c>
      <c r="O8" s="129">
        <f>'FSS Phase 1 P&amp;L'!O127</f>
        <v>813008.15999999992</v>
      </c>
      <c r="P8" s="129">
        <f>'FSS Phase 1 P&amp;L'!P127</f>
        <v>813008.15999999992</v>
      </c>
      <c r="Q8" s="129">
        <f>'FSS Phase 1 P&amp;L'!Q127</f>
        <v>813008.15999999992</v>
      </c>
      <c r="R8" s="129">
        <f>'FSS Phase 1 P&amp;L'!R127</f>
        <v>813008.15999999992</v>
      </c>
      <c r="S8" s="129">
        <f>'FSS Phase 1 P&amp;L'!S127</f>
        <v>813008.15999999992</v>
      </c>
      <c r="T8" s="129">
        <f>'FSS Phase 1 P&amp;L'!T127</f>
        <v>813008.15999999992</v>
      </c>
      <c r="U8" s="129">
        <f>'FSS Phase 1 P&amp;L'!U127</f>
        <v>813008.15999999992</v>
      </c>
      <c r="V8" s="129">
        <f>'FSS Phase 1 P&amp;L'!V127</f>
        <v>813008.15999999992</v>
      </c>
      <c r="W8" s="129">
        <f>'FSS Phase 1 P&amp;L'!W127</f>
        <v>813008.15999999992</v>
      </c>
      <c r="X8" s="129">
        <f>'FSS Phase 1 P&amp;L'!X127</f>
        <v>813008.15999999992</v>
      </c>
      <c r="Y8" s="129">
        <f>'FSS Phase 1 P&amp;L'!Y127</f>
        <v>813008.15999999992</v>
      </c>
      <c r="Z8" s="129">
        <f>'FSS Phase 1 P&amp;L'!Z127</f>
        <v>813008.15999999992</v>
      </c>
      <c r="AA8" s="233">
        <f>SUM(O8:Z8)</f>
        <v>9756097.9199999999</v>
      </c>
      <c r="AB8" s="233">
        <f>'FSS Phase 1 P&amp;L'!AB127</f>
        <v>10048780.8576</v>
      </c>
      <c r="AC8" s="233">
        <f>'FSS Phase 1 P&amp;L'!AC127</f>
        <v>10090429.113599999</v>
      </c>
      <c r="AD8" s="233">
        <f>'FSS Phase 1 P&amp;L'!AD127</f>
        <v>10393141.987007998</v>
      </c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</row>
    <row r="9" spans="1:46" x14ac:dyDescent="0.2">
      <c r="A9" s="232" t="s">
        <v>493</v>
      </c>
      <c r="B9" s="129">
        <f>'FSS 805 P&amp;L'!B131</f>
        <v>324</v>
      </c>
      <c r="C9" s="129">
        <f>'FSS 805 P&amp;L'!C131</f>
        <v>324</v>
      </c>
      <c r="D9" s="129">
        <f>'FSS 805 P&amp;L'!D131</f>
        <v>324</v>
      </c>
      <c r="E9" s="129">
        <f>'FSS 805 P&amp;L'!E131</f>
        <v>1367.722</v>
      </c>
      <c r="F9" s="129">
        <f>'FSS 805 P&amp;L'!F131</f>
        <v>2647.7219999999998</v>
      </c>
      <c r="G9" s="129">
        <f>'FSS 805 P&amp;L'!G131</f>
        <v>3855.444</v>
      </c>
      <c r="H9" s="129">
        <f>'FSS 805 P&amp;L'!H131</f>
        <v>5110.6099999999997</v>
      </c>
      <c r="I9" s="129">
        <f>'FSS 805 P&amp;L'!I131</f>
        <v>13120.289999999999</v>
      </c>
      <c r="J9" s="129">
        <f>'FSS 805 P&amp;L'!J131</f>
        <v>21427.532999999999</v>
      </c>
      <c r="K9" s="129">
        <f>'FSS 805 P&amp;L'!K131</f>
        <v>22255.532999999999</v>
      </c>
      <c r="L9" s="129">
        <f>'FSS 805 P&amp;L'!L131</f>
        <v>22255.532999999999</v>
      </c>
      <c r="M9" s="129">
        <f>'FSS 805 P&amp;L'!M131</f>
        <v>23154.281999999999</v>
      </c>
      <c r="N9" s="156">
        <f t="shared" si="0"/>
        <v>116166.66899999999</v>
      </c>
      <c r="O9" s="129">
        <f>'FSS 805 P&amp;L'!O131</f>
        <v>23154.281999999999</v>
      </c>
      <c r="P9" s="129">
        <f>'FSS 805 P&amp;L'!P131</f>
        <v>24025.482</v>
      </c>
      <c r="Q9" s="129">
        <f>'FSS 805 P&amp;L'!Q131</f>
        <v>24421.482</v>
      </c>
      <c r="R9" s="129">
        <f>'FSS 805 P&amp;L'!R131</f>
        <v>24817.482</v>
      </c>
      <c r="S9" s="129">
        <f>'FSS 805 P&amp;L'!S131</f>
        <v>25213.482</v>
      </c>
      <c r="T9" s="129">
        <f>'FSS 805 P&amp;L'!T131</f>
        <v>25609.482</v>
      </c>
      <c r="U9" s="129">
        <f>'FSS 805 P&amp;L'!U131</f>
        <v>26005.482</v>
      </c>
      <c r="V9" s="129">
        <f>'FSS 805 P&amp;L'!V131</f>
        <v>26401.482</v>
      </c>
      <c r="W9" s="129">
        <f>'FSS 805 P&amp;L'!W131</f>
        <v>26797.482</v>
      </c>
      <c r="X9" s="129">
        <f>'FSS 805 P&amp;L'!X131</f>
        <v>27193.482</v>
      </c>
      <c r="Y9" s="129">
        <f>'FSS 805 P&amp;L'!Y131</f>
        <v>27193.482</v>
      </c>
      <c r="Z9" s="129">
        <f>'FSS 805 P&amp;L'!Z131</f>
        <v>27193.482</v>
      </c>
      <c r="AA9" s="233">
        <f>SUM(O9:Z9)</f>
        <v>308026.58399999997</v>
      </c>
      <c r="AB9" s="233">
        <f>'FSS 805 P&amp;L'!AA131</f>
        <v>308026.58399999997</v>
      </c>
      <c r="AC9" s="233">
        <f>'FSS 805 P&amp;L'!BA131</f>
        <v>346194.7806456</v>
      </c>
      <c r="AD9" s="233">
        <f>'FSS 805 P&amp;L'!BB131</f>
        <v>356580.62406496803</v>
      </c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</row>
    <row r="10" spans="1:46" ht="6" customHeight="1" x14ac:dyDescent="0.2">
      <c r="A10" s="234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57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235"/>
      <c r="AB10" s="235"/>
      <c r="AC10" s="235"/>
      <c r="AD10" s="235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</row>
    <row r="11" spans="1:46" s="71" customFormat="1" collapsed="1" x14ac:dyDescent="0.2">
      <c r="A11" s="69" t="s">
        <v>525</v>
      </c>
      <c r="B11" s="70">
        <f t="shared" ref="B11:AD11" si="1">SUM(B8:B10)</f>
        <v>324</v>
      </c>
      <c r="C11" s="70">
        <f t="shared" si="1"/>
        <v>324</v>
      </c>
      <c r="D11" s="70">
        <f t="shared" si="1"/>
        <v>90658.240000000005</v>
      </c>
      <c r="E11" s="70">
        <f t="shared" si="1"/>
        <v>182036.20200000002</v>
      </c>
      <c r="F11" s="70">
        <f t="shared" si="1"/>
        <v>273650.44199999998</v>
      </c>
      <c r="G11" s="70">
        <f t="shared" si="1"/>
        <v>365192.40400000004</v>
      </c>
      <c r="H11" s="70">
        <f t="shared" si="1"/>
        <v>456781.80999999994</v>
      </c>
      <c r="I11" s="70">
        <f t="shared" si="1"/>
        <v>555125.73</v>
      </c>
      <c r="J11" s="70">
        <f t="shared" si="1"/>
        <v>653767.21299999999</v>
      </c>
      <c r="K11" s="70">
        <f t="shared" si="1"/>
        <v>744929.4530000001</v>
      </c>
      <c r="L11" s="70">
        <f t="shared" si="1"/>
        <v>835263.69299999997</v>
      </c>
      <c r="M11" s="70">
        <f t="shared" si="1"/>
        <v>836162.44199999992</v>
      </c>
      <c r="N11" s="70">
        <f t="shared" si="1"/>
        <v>4994215.6289999997</v>
      </c>
      <c r="O11" s="70">
        <f t="shared" si="1"/>
        <v>836162.44199999992</v>
      </c>
      <c r="P11" s="70">
        <f t="shared" si="1"/>
        <v>837033.64199999988</v>
      </c>
      <c r="Q11" s="70">
        <f t="shared" si="1"/>
        <v>837429.64199999988</v>
      </c>
      <c r="R11" s="70">
        <f t="shared" si="1"/>
        <v>837825.64199999988</v>
      </c>
      <c r="S11" s="70">
        <f t="shared" si="1"/>
        <v>838221.64199999988</v>
      </c>
      <c r="T11" s="70">
        <f t="shared" si="1"/>
        <v>838617.64199999988</v>
      </c>
      <c r="U11" s="70">
        <f t="shared" si="1"/>
        <v>839013.64199999988</v>
      </c>
      <c r="V11" s="70">
        <f t="shared" si="1"/>
        <v>839409.64199999988</v>
      </c>
      <c r="W11" s="70">
        <f t="shared" si="1"/>
        <v>839805.64199999988</v>
      </c>
      <c r="X11" s="70">
        <f t="shared" si="1"/>
        <v>840201.64199999988</v>
      </c>
      <c r="Y11" s="70">
        <f t="shared" si="1"/>
        <v>840201.64199999988</v>
      </c>
      <c r="Z11" s="70">
        <f t="shared" si="1"/>
        <v>840201.64199999988</v>
      </c>
      <c r="AA11" s="81">
        <f t="shared" si="1"/>
        <v>10064124.504000001</v>
      </c>
      <c r="AB11" s="81">
        <f t="shared" si="1"/>
        <v>10356807.4416</v>
      </c>
      <c r="AC11" s="81">
        <f t="shared" si="1"/>
        <v>10436623.894245598</v>
      </c>
      <c r="AD11" s="81">
        <f t="shared" si="1"/>
        <v>10749722.611072967</v>
      </c>
    </row>
    <row r="12" spans="1:46" s="71" customForma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46" s="80" customFormat="1" collapsed="1" x14ac:dyDescent="0.2">
      <c r="A13" s="80" t="s">
        <v>28</v>
      </c>
      <c r="B13" s="149">
        <f>B11</f>
        <v>324</v>
      </c>
      <c r="C13" s="149">
        <f t="shared" ref="C13:AD13" si="2">C11</f>
        <v>324</v>
      </c>
      <c r="D13" s="149">
        <f t="shared" si="2"/>
        <v>90658.240000000005</v>
      </c>
      <c r="E13" s="149">
        <f t="shared" si="2"/>
        <v>182036.20200000002</v>
      </c>
      <c r="F13" s="149">
        <f t="shared" si="2"/>
        <v>273650.44199999998</v>
      </c>
      <c r="G13" s="149">
        <f t="shared" si="2"/>
        <v>365192.40400000004</v>
      </c>
      <c r="H13" s="149">
        <f t="shared" si="2"/>
        <v>456781.80999999994</v>
      </c>
      <c r="I13" s="149">
        <f t="shared" si="2"/>
        <v>555125.73</v>
      </c>
      <c r="J13" s="149">
        <f t="shared" si="2"/>
        <v>653767.21299999999</v>
      </c>
      <c r="K13" s="149">
        <f t="shared" si="2"/>
        <v>744929.4530000001</v>
      </c>
      <c r="L13" s="149">
        <f t="shared" si="2"/>
        <v>835263.69299999997</v>
      </c>
      <c r="M13" s="149">
        <f t="shared" si="2"/>
        <v>836162.44199999992</v>
      </c>
      <c r="N13" s="149">
        <f t="shared" si="2"/>
        <v>4994215.6289999997</v>
      </c>
      <c r="O13" s="149">
        <f t="shared" si="2"/>
        <v>836162.44199999992</v>
      </c>
      <c r="P13" s="149">
        <f t="shared" si="2"/>
        <v>837033.64199999988</v>
      </c>
      <c r="Q13" s="149">
        <f t="shared" si="2"/>
        <v>837429.64199999988</v>
      </c>
      <c r="R13" s="149">
        <f t="shared" si="2"/>
        <v>837825.64199999988</v>
      </c>
      <c r="S13" s="149">
        <f t="shared" si="2"/>
        <v>838221.64199999988</v>
      </c>
      <c r="T13" s="149">
        <f t="shared" si="2"/>
        <v>838617.64199999988</v>
      </c>
      <c r="U13" s="149">
        <f t="shared" si="2"/>
        <v>839013.64199999988</v>
      </c>
      <c r="V13" s="149">
        <f t="shared" si="2"/>
        <v>839409.64199999988</v>
      </c>
      <c r="W13" s="149">
        <f t="shared" si="2"/>
        <v>839805.64199999988</v>
      </c>
      <c r="X13" s="149">
        <f t="shared" si="2"/>
        <v>840201.64199999988</v>
      </c>
      <c r="Y13" s="149">
        <f t="shared" si="2"/>
        <v>840201.64199999988</v>
      </c>
      <c r="Z13" s="149">
        <f t="shared" si="2"/>
        <v>840201.64199999988</v>
      </c>
      <c r="AA13" s="149">
        <f t="shared" si="2"/>
        <v>10064124.504000001</v>
      </c>
      <c r="AB13" s="149">
        <f t="shared" si="2"/>
        <v>10356807.4416</v>
      </c>
      <c r="AC13" s="149">
        <f t="shared" si="2"/>
        <v>10436623.894245598</v>
      </c>
      <c r="AD13" s="149">
        <f t="shared" si="2"/>
        <v>10749722.611072967</v>
      </c>
    </row>
    <row r="14" spans="1:46" x14ac:dyDescent="0.2"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7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46" ht="15" x14ac:dyDescent="0.25">
      <c r="A15" s="229" t="s">
        <v>252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7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46" x14ac:dyDescent="0.2">
      <c r="A16" s="144" t="s">
        <v>251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40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</row>
    <row r="17" spans="1:30" x14ac:dyDescent="0.2">
      <c r="A17" s="238" t="s">
        <v>264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56">
        <f t="shared" ref="N17:N22" si="3">SUM(B17:M17)</f>
        <v>0</v>
      </c>
      <c r="O17" s="66">
        <f>$M17*(1+'CIL Mgmt Assumptions'!$D$19)</f>
        <v>0</v>
      </c>
      <c r="P17" s="66">
        <f>$M17*(1+'CIL Mgmt Assumptions'!$D$19)</f>
        <v>0</v>
      </c>
      <c r="Q17" s="66">
        <f>$M17*(1+'CIL Mgmt Assumptions'!$D$19)</f>
        <v>0</v>
      </c>
      <c r="R17" s="66">
        <f>$M17*(1+'CIL Mgmt Assumptions'!$D$19)</f>
        <v>0</v>
      </c>
      <c r="S17" s="66">
        <f>$M17*(1+'CIL Mgmt Assumptions'!$D$19)</f>
        <v>0</v>
      </c>
      <c r="T17" s="66">
        <f>$M17*(1+'CIL Mgmt Assumptions'!$D$19)</f>
        <v>0</v>
      </c>
      <c r="U17" s="66">
        <f>$M17*(1+'CIL Mgmt Assumptions'!$D$19)</f>
        <v>0</v>
      </c>
      <c r="V17" s="66">
        <f>$M17*(1+'CIL Mgmt Assumptions'!$D$19)</f>
        <v>0</v>
      </c>
      <c r="W17" s="66">
        <f>$M17*(1+'CIL Mgmt Assumptions'!$D$19)</f>
        <v>0</v>
      </c>
      <c r="X17" s="66">
        <f>$M17*(1+'CIL Mgmt Assumptions'!$D$19)</f>
        <v>0</v>
      </c>
      <c r="Y17" s="66">
        <f>$M17*(1+'CIL Mgmt Assumptions'!$D$19)</f>
        <v>0</v>
      </c>
      <c r="Z17" s="66">
        <f>$M17*(1+'CIL Mgmt Assumptions'!$D$19)</f>
        <v>0</v>
      </c>
      <c r="AA17" s="233">
        <f t="shared" ref="AA17:AA22" si="4">SUM(O17:Z17)</f>
        <v>0</v>
      </c>
      <c r="AB17" s="153">
        <f>AA17*(1+'CIL Mgmt Assumptions'!E$19)</f>
        <v>0</v>
      </c>
      <c r="AC17" s="153">
        <f>AB17*(1+'CIL Mgmt Assumptions'!F$19)</f>
        <v>0</v>
      </c>
      <c r="AD17" s="153">
        <f>AC17*(1+'CIL Mgmt Assumptions'!G$19)</f>
        <v>0</v>
      </c>
    </row>
    <row r="18" spans="1:30" x14ac:dyDescent="0.2">
      <c r="A18" s="238" t="s">
        <v>265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56">
        <f t="shared" si="3"/>
        <v>0</v>
      </c>
      <c r="O18" s="66">
        <f>O17*'CIL Mgmt Assumptions'!$B$23</f>
        <v>0</v>
      </c>
      <c r="P18" s="66">
        <f>P17*'CIL Mgmt Assumptions'!$B$23</f>
        <v>0</v>
      </c>
      <c r="Q18" s="66">
        <f>Q17*'CIL Mgmt Assumptions'!$B$23</f>
        <v>0</v>
      </c>
      <c r="R18" s="66">
        <f>R17*'CIL Mgmt Assumptions'!$B$23</f>
        <v>0</v>
      </c>
      <c r="S18" s="66">
        <f>S17*'CIL Mgmt Assumptions'!$B$23</f>
        <v>0</v>
      </c>
      <c r="T18" s="66">
        <f>T17*'CIL Mgmt Assumptions'!$B$23</f>
        <v>0</v>
      </c>
      <c r="U18" s="66">
        <f>U17*'CIL Mgmt Assumptions'!$B$23</f>
        <v>0</v>
      </c>
      <c r="V18" s="66">
        <f>V17*'CIL Mgmt Assumptions'!$B$23</f>
        <v>0</v>
      </c>
      <c r="W18" s="66">
        <f>W17*'CIL Mgmt Assumptions'!$B$23</f>
        <v>0</v>
      </c>
      <c r="X18" s="66">
        <f>X17*'CIL Mgmt Assumptions'!$B$23</f>
        <v>0</v>
      </c>
      <c r="Y18" s="66">
        <f>Y17*'CIL Mgmt Assumptions'!$B$23</f>
        <v>0</v>
      </c>
      <c r="Z18" s="66">
        <f>Z17*'CIL Mgmt Assumptions'!$B$23</f>
        <v>0</v>
      </c>
      <c r="AA18" s="233">
        <f t="shared" si="4"/>
        <v>0</v>
      </c>
      <c r="AB18" s="153">
        <f>AB17*'CIL Mgmt Assumptions'!$B$23</f>
        <v>0</v>
      </c>
      <c r="AC18" s="153">
        <f>AC17*'CIL Mgmt Assumptions'!$B$23</f>
        <v>0</v>
      </c>
      <c r="AD18" s="153">
        <f>AD17*'CIL Mgmt Assumptions'!$B$23</f>
        <v>0</v>
      </c>
    </row>
    <row r="19" spans="1:30" x14ac:dyDescent="0.2">
      <c r="A19" s="238" t="s">
        <v>266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56">
        <f t="shared" si="3"/>
        <v>0</v>
      </c>
      <c r="O19" s="66">
        <f>$M19*(1+'CIL Mgmt Assumptions'!$D$23)</f>
        <v>0</v>
      </c>
      <c r="P19" s="66">
        <f>$M19*(1+'CIL Mgmt Assumptions'!$D$23)</f>
        <v>0</v>
      </c>
      <c r="Q19" s="66">
        <f>$M19*(1+'CIL Mgmt Assumptions'!$D$23)</f>
        <v>0</v>
      </c>
      <c r="R19" s="66">
        <f>$M19*(1+'CIL Mgmt Assumptions'!$D$23)</f>
        <v>0</v>
      </c>
      <c r="S19" s="66">
        <f>$M19*(1+'CIL Mgmt Assumptions'!$D$23)</f>
        <v>0</v>
      </c>
      <c r="T19" s="66">
        <f>$M19*(1+'CIL Mgmt Assumptions'!$D$23)</f>
        <v>0</v>
      </c>
      <c r="U19" s="66">
        <f>$M19*(1+'CIL Mgmt Assumptions'!$D$23)</f>
        <v>0</v>
      </c>
      <c r="V19" s="66">
        <f>$M19*(1+'CIL Mgmt Assumptions'!$D$23)</f>
        <v>0</v>
      </c>
      <c r="W19" s="66">
        <f>$M19*(1+'CIL Mgmt Assumptions'!$D$23)</f>
        <v>0</v>
      </c>
      <c r="X19" s="66">
        <f>$M19*(1+'CIL Mgmt Assumptions'!$D$23)</f>
        <v>0</v>
      </c>
      <c r="Y19" s="66">
        <f>$M19*(1+'CIL Mgmt Assumptions'!$D$23)</f>
        <v>0</v>
      </c>
      <c r="Z19" s="66">
        <f>$M19*(1+'CIL Mgmt Assumptions'!$D$23)</f>
        <v>0</v>
      </c>
      <c r="AA19" s="233">
        <f t="shared" si="4"/>
        <v>0</v>
      </c>
      <c r="AB19" s="153">
        <f>AA19*(1+'CIL Mgmt Assumptions'!$E$23)</f>
        <v>0</v>
      </c>
      <c r="AC19" s="153">
        <f>AB19*(1+'CIL Mgmt Assumptions'!$E$23)</f>
        <v>0</v>
      </c>
      <c r="AD19" s="153">
        <f>AC19*(1+'CIL Mgmt Assumptions'!$E$23)</f>
        <v>0</v>
      </c>
    </row>
    <row r="20" spans="1:30" x14ac:dyDescent="0.2">
      <c r="A20" s="238" t="s">
        <v>267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56">
        <f t="shared" si="3"/>
        <v>0</v>
      </c>
      <c r="O20" s="66">
        <f>(O17+O18+O19)*'CIL Mgmt Assumptions'!$B$28</f>
        <v>0</v>
      </c>
      <c r="P20" s="66">
        <f>(P17+P18+P19)*'CIL Mgmt Assumptions'!$B$28</f>
        <v>0</v>
      </c>
      <c r="Q20" s="66">
        <f>(Q17+Q18+Q19)*'CIL Mgmt Assumptions'!$B$28</f>
        <v>0</v>
      </c>
      <c r="R20" s="66">
        <f>(R17+R18+R19)*'CIL Mgmt Assumptions'!$B$28</f>
        <v>0</v>
      </c>
      <c r="S20" s="66">
        <f>(S17+S18+S19)*'CIL Mgmt Assumptions'!$B$28</f>
        <v>0</v>
      </c>
      <c r="T20" s="66">
        <f>(T17+T18+T19)*'CIL Mgmt Assumptions'!$B$28</f>
        <v>0</v>
      </c>
      <c r="U20" s="66">
        <f>(U17+U18+U19)*'CIL Mgmt Assumptions'!$B$28</f>
        <v>0</v>
      </c>
      <c r="V20" s="66">
        <f>(V17+V18+V19)*'CIL Mgmt Assumptions'!$B$28</f>
        <v>0</v>
      </c>
      <c r="W20" s="66">
        <f>(W17+W18+W19)*'CIL Mgmt Assumptions'!$B$28</f>
        <v>0</v>
      </c>
      <c r="X20" s="66">
        <f>(X17+X18+X19)*'CIL Mgmt Assumptions'!$B$28</f>
        <v>0</v>
      </c>
      <c r="Y20" s="66">
        <f>(Y17+Y18+Y19)*'CIL Mgmt Assumptions'!$B$28</f>
        <v>0</v>
      </c>
      <c r="Z20" s="66">
        <f>(Z17+Z18+Z19)*'CIL Mgmt Assumptions'!$B$28</f>
        <v>0</v>
      </c>
      <c r="AA20" s="233">
        <f t="shared" si="4"/>
        <v>0</v>
      </c>
      <c r="AB20" s="153">
        <f>(AB17+AB18+AB19)*'CIL Mgmt Assumptions'!$B$28</f>
        <v>0</v>
      </c>
      <c r="AC20" s="153">
        <f>(AC17+AC18+AC19)*'CIL Mgmt Assumptions'!$B$28</f>
        <v>0</v>
      </c>
      <c r="AD20" s="153">
        <f>(AD17+AD18+AD19)*'CIL Mgmt Assumptions'!$B$28</f>
        <v>0</v>
      </c>
    </row>
    <row r="21" spans="1:30" x14ac:dyDescent="0.2">
      <c r="A21" s="234" t="s">
        <v>185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56">
        <f t="shared" si="3"/>
        <v>0</v>
      </c>
      <c r="O21" s="65">
        <f>$M21*(1+'CIL Mgmt Assumptions'!$D$36)</f>
        <v>0</v>
      </c>
      <c r="P21" s="65">
        <f>$M21*(1+'CIL Mgmt Assumptions'!$D$36)</f>
        <v>0</v>
      </c>
      <c r="Q21" s="65">
        <f>$M21*(1+'CIL Mgmt Assumptions'!$D$36)</f>
        <v>0</v>
      </c>
      <c r="R21" s="65">
        <f>$M21*(1+'CIL Mgmt Assumptions'!$D$36)</f>
        <v>0</v>
      </c>
      <c r="S21" s="65">
        <f>$M21*(1+'CIL Mgmt Assumptions'!$D$36)</f>
        <v>0</v>
      </c>
      <c r="T21" s="65">
        <f>$M21*(1+'CIL Mgmt Assumptions'!$D$36)</f>
        <v>0</v>
      </c>
      <c r="U21" s="65">
        <f>$M21*(1+'CIL Mgmt Assumptions'!$D$36)</f>
        <v>0</v>
      </c>
      <c r="V21" s="65">
        <f>$M21*(1+'CIL Mgmt Assumptions'!$D$36)</f>
        <v>0</v>
      </c>
      <c r="W21" s="65">
        <f>$M21*(1+'CIL Mgmt Assumptions'!$D$36)</f>
        <v>0</v>
      </c>
      <c r="X21" s="65">
        <f>$M21*(1+'CIL Mgmt Assumptions'!$D$36)</f>
        <v>0</v>
      </c>
      <c r="Y21" s="65">
        <f>$M21*(1+'CIL Mgmt Assumptions'!$D$36)</f>
        <v>0</v>
      </c>
      <c r="Z21" s="65">
        <f>$M21*(1+'CIL Mgmt Assumptions'!$D$36)</f>
        <v>0</v>
      </c>
      <c r="AA21" s="233">
        <f t="shared" si="4"/>
        <v>0</v>
      </c>
      <c r="AB21" s="153">
        <f>AA21*(1+'CIL Mgmt Assumptions'!E36)</f>
        <v>0</v>
      </c>
      <c r="AC21" s="153">
        <f>AB21*(1+'CIL Mgmt Assumptions'!F36)</f>
        <v>0</v>
      </c>
      <c r="AD21" s="153">
        <f>AC21*(1+'CIL Mgmt Assumptions'!G36)</f>
        <v>0</v>
      </c>
    </row>
    <row r="22" spans="1:30" x14ac:dyDescent="0.2">
      <c r="A22" s="238" t="s">
        <v>268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56">
        <f t="shared" si="3"/>
        <v>0</v>
      </c>
      <c r="O22" s="66">
        <f>(O17+O18+O19)*'CIL Mgmt Assumptions'!$B$42</f>
        <v>0</v>
      </c>
      <c r="P22" s="66">
        <f>(P17+P18+P19)*'CIL Mgmt Assumptions'!$B$42</f>
        <v>0</v>
      </c>
      <c r="Q22" s="66">
        <f>(Q17+Q18+Q19)*'CIL Mgmt Assumptions'!$B$42</f>
        <v>0</v>
      </c>
      <c r="R22" s="66">
        <f>(R17+R18+R19)*'CIL Mgmt Assumptions'!$B$42</f>
        <v>0</v>
      </c>
      <c r="S22" s="66">
        <f>(S17+S18+S19)*'CIL Mgmt Assumptions'!$B$42</f>
        <v>0</v>
      </c>
      <c r="T22" s="66">
        <f>(T17+T18+T19)*'CIL Mgmt Assumptions'!$B$42</f>
        <v>0</v>
      </c>
      <c r="U22" s="66">
        <f>(U17+U18+U19)*'CIL Mgmt Assumptions'!$B$42</f>
        <v>0</v>
      </c>
      <c r="V22" s="66">
        <f>(V17+V18+V19)*'CIL Mgmt Assumptions'!$B$42</f>
        <v>0</v>
      </c>
      <c r="W22" s="66">
        <f>(W17+W18+W19)*'CIL Mgmt Assumptions'!$B$42</f>
        <v>0</v>
      </c>
      <c r="X22" s="66">
        <f>(X17+X18+X19)*'CIL Mgmt Assumptions'!$B$42</f>
        <v>0</v>
      </c>
      <c r="Y22" s="66">
        <f>(Y17+Y18+Y19)*'CIL Mgmt Assumptions'!$B$42</f>
        <v>0</v>
      </c>
      <c r="Z22" s="66">
        <f>(Z17+Z18+Z19)*'CIL Mgmt Assumptions'!$B$42</f>
        <v>0</v>
      </c>
      <c r="AA22" s="233">
        <f t="shared" si="4"/>
        <v>0</v>
      </c>
      <c r="AB22" s="153">
        <f>(AB17+AB18+AB19)*'CIL Mgmt Assumptions'!$B$42</f>
        <v>0</v>
      </c>
      <c r="AC22" s="153">
        <f>(AC17+AC18+AC19)*'CIL Mgmt Assumptions'!$B$42</f>
        <v>0</v>
      </c>
      <c r="AD22" s="153">
        <f>(AD17+AD18+AD19)*'CIL Mgmt Assumptions'!$B$42</f>
        <v>0</v>
      </c>
    </row>
    <row r="23" spans="1:30" x14ac:dyDescent="0.2">
      <c r="A23" s="238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56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233"/>
      <c r="AB23" s="153"/>
      <c r="AC23" s="153"/>
      <c r="AD23" s="153"/>
    </row>
    <row r="24" spans="1:30" x14ac:dyDescent="0.2">
      <c r="A24" s="24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60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235"/>
      <c r="AB24" s="131"/>
      <c r="AC24" s="131"/>
      <c r="AD24" s="131"/>
    </row>
    <row r="25" spans="1:30" s="80" customFormat="1" collapsed="1" x14ac:dyDescent="0.2">
      <c r="A25" s="79" t="s">
        <v>253</v>
      </c>
      <c r="B25" s="81">
        <f>SUM(B17:B24)</f>
        <v>0</v>
      </c>
      <c r="C25" s="81">
        <f t="shared" ref="C25:AD25" si="5">SUM(C17:C24)</f>
        <v>0</v>
      </c>
      <c r="D25" s="81">
        <f t="shared" si="5"/>
        <v>0</v>
      </c>
      <c r="E25" s="81">
        <f t="shared" si="5"/>
        <v>0</v>
      </c>
      <c r="F25" s="81">
        <f t="shared" si="5"/>
        <v>0</v>
      </c>
      <c r="G25" s="81">
        <f t="shared" si="5"/>
        <v>0</v>
      </c>
      <c r="H25" s="81">
        <f t="shared" si="5"/>
        <v>0</v>
      </c>
      <c r="I25" s="81">
        <f t="shared" si="5"/>
        <v>0</v>
      </c>
      <c r="J25" s="81">
        <f t="shared" si="5"/>
        <v>0</v>
      </c>
      <c r="K25" s="81">
        <f t="shared" si="5"/>
        <v>0</v>
      </c>
      <c r="L25" s="81">
        <f t="shared" si="5"/>
        <v>0</v>
      </c>
      <c r="M25" s="81">
        <f t="shared" si="5"/>
        <v>0</v>
      </c>
      <c r="N25" s="81">
        <f t="shared" si="5"/>
        <v>0</v>
      </c>
      <c r="O25" s="81">
        <f t="shared" si="5"/>
        <v>0</v>
      </c>
      <c r="P25" s="81">
        <f t="shared" si="5"/>
        <v>0</v>
      </c>
      <c r="Q25" s="81">
        <f t="shared" si="5"/>
        <v>0</v>
      </c>
      <c r="R25" s="81">
        <f t="shared" si="5"/>
        <v>0</v>
      </c>
      <c r="S25" s="81">
        <f t="shared" si="5"/>
        <v>0</v>
      </c>
      <c r="T25" s="81">
        <f t="shared" si="5"/>
        <v>0</v>
      </c>
      <c r="U25" s="81">
        <f t="shared" si="5"/>
        <v>0</v>
      </c>
      <c r="V25" s="81">
        <f t="shared" si="5"/>
        <v>0</v>
      </c>
      <c r="W25" s="81">
        <f t="shared" si="5"/>
        <v>0</v>
      </c>
      <c r="X25" s="81">
        <f t="shared" si="5"/>
        <v>0</v>
      </c>
      <c r="Y25" s="81">
        <f t="shared" si="5"/>
        <v>0</v>
      </c>
      <c r="Z25" s="81">
        <f t="shared" si="5"/>
        <v>0</v>
      </c>
      <c r="AA25" s="81">
        <f t="shared" si="5"/>
        <v>0</v>
      </c>
      <c r="AB25" s="81">
        <f t="shared" si="5"/>
        <v>0</v>
      </c>
      <c r="AC25" s="81">
        <f t="shared" si="5"/>
        <v>0</v>
      </c>
      <c r="AD25" s="81">
        <f t="shared" si="5"/>
        <v>0</v>
      </c>
    </row>
    <row r="26" spans="1:30" s="80" customFormat="1" x14ac:dyDescent="0.2">
      <c r="A26" s="79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1:30" x14ac:dyDescent="0.2">
      <c r="A27" s="242" t="s">
        <v>195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7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x14ac:dyDescent="0.2">
      <c r="A28" s="241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58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233"/>
      <c r="AB28" s="96"/>
      <c r="AC28" s="96"/>
      <c r="AD28" s="96"/>
    </row>
    <row r="29" spans="1:30" x14ac:dyDescent="0.2">
      <c r="A29" s="24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160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235"/>
      <c r="AB29" s="131"/>
      <c r="AC29" s="131"/>
      <c r="AD29" s="131"/>
    </row>
    <row r="30" spans="1:30" s="80" customFormat="1" collapsed="1" x14ac:dyDescent="0.2">
      <c r="A30" s="90" t="s">
        <v>196</v>
      </c>
      <c r="B30" s="81">
        <f t="shared" ref="B30:AD30" si="6">SUM(B28:B29)</f>
        <v>0</v>
      </c>
      <c r="C30" s="81">
        <f t="shared" si="6"/>
        <v>0</v>
      </c>
      <c r="D30" s="81">
        <f t="shared" si="6"/>
        <v>0</v>
      </c>
      <c r="E30" s="81">
        <f t="shared" si="6"/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0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 t="shared" si="6"/>
        <v>0</v>
      </c>
      <c r="P30" s="81">
        <f t="shared" si="6"/>
        <v>0</v>
      </c>
      <c r="Q30" s="81">
        <f t="shared" si="6"/>
        <v>0</v>
      </c>
      <c r="R30" s="81">
        <f t="shared" si="6"/>
        <v>0</v>
      </c>
      <c r="S30" s="81">
        <f t="shared" si="6"/>
        <v>0</v>
      </c>
      <c r="T30" s="81">
        <f t="shared" si="6"/>
        <v>0</v>
      </c>
      <c r="U30" s="81">
        <f t="shared" si="6"/>
        <v>0</v>
      </c>
      <c r="V30" s="81">
        <f t="shared" si="6"/>
        <v>0</v>
      </c>
      <c r="W30" s="81">
        <f t="shared" si="6"/>
        <v>0</v>
      </c>
      <c r="X30" s="81">
        <f t="shared" si="6"/>
        <v>0</v>
      </c>
      <c r="Y30" s="81">
        <f t="shared" si="6"/>
        <v>0</v>
      </c>
      <c r="Z30" s="81">
        <f t="shared" si="6"/>
        <v>0</v>
      </c>
      <c r="AA30" s="81">
        <f t="shared" si="6"/>
        <v>0</v>
      </c>
      <c r="AB30" s="81">
        <f t="shared" si="6"/>
        <v>0</v>
      </c>
      <c r="AC30" s="81">
        <f t="shared" si="6"/>
        <v>0</v>
      </c>
      <c r="AD30" s="81">
        <f t="shared" si="6"/>
        <v>0</v>
      </c>
    </row>
    <row r="31" spans="1:30" x14ac:dyDescent="0.2">
      <c r="A31" s="241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7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</row>
    <row r="32" spans="1:30" x14ac:dyDescent="0.2">
      <c r="A32" s="242" t="s">
        <v>97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7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</row>
    <row r="33" spans="1:30" x14ac:dyDescent="0.2">
      <c r="A33" s="241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56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233"/>
      <c r="AB33" s="96"/>
      <c r="AC33" s="96"/>
      <c r="AD33" s="96"/>
    </row>
    <row r="34" spans="1:30" x14ac:dyDescent="0.2">
      <c r="A34" s="241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160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235"/>
      <c r="AB34" s="131"/>
      <c r="AC34" s="131"/>
      <c r="AD34" s="131"/>
    </row>
    <row r="35" spans="1:30" s="80" customFormat="1" collapsed="1" x14ac:dyDescent="0.2">
      <c r="A35" s="90" t="s">
        <v>98</v>
      </c>
      <c r="B35" s="81">
        <f t="shared" ref="B35:AD35" si="7">SUM(B33:B34)</f>
        <v>0</v>
      </c>
      <c r="C35" s="81">
        <f t="shared" si="7"/>
        <v>0</v>
      </c>
      <c r="D35" s="81">
        <f t="shared" si="7"/>
        <v>0</v>
      </c>
      <c r="E35" s="81">
        <f t="shared" si="7"/>
        <v>0</v>
      </c>
      <c r="F35" s="81">
        <f t="shared" si="7"/>
        <v>0</v>
      </c>
      <c r="G35" s="81">
        <f t="shared" si="7"/>
        <v>0</v>
      </c>
      <c r="H35" s="81">
        <f t="shared" si="7"/>
        <v>0</v>
      </c>
      <c r="I35" s="81">
        <f t="shared" si="7"/>
        <v>0</v>
      </c>
      <c r="J35" s="81">
        <f t="shared" si="7"/>
        <v>0</v>
      </c>
      <c r="K35" s="81">
        <f t="shared" si="7"/>
        <v>0</v>
      </c>
      <c r="L35" s="81">
        <f t="shared" si="7"/>
        <v>0</v>
      </c>
      <c r="M35" s="81">
        <f t="shared" si="7"/>
        <v>0</v>
      </c>
      <c r="N35" s="81">
        <f t="shared" si="7"/>
        <v>0</v>
      </c>
      <c r="O35" s="81">
        <f t="shared" si="7"/>
        <v>0</v>
      </c>
      <c r="P35" s="81">
        <f t="shared" si="7"/>
        <v>0</v>
      </c>
      <c r="Q35" s="81">
        <f t="shared" si="7"/>
        <v>0</v>
      </c>
      <c r="R35" s="81">
        <f t="shared" si="7"/>
        <v>0</v>
      </c>
      <c r="S35" s="81">
        <f t="shared" si="7"/>
        <v>0</v>
      </c>
      <c r="T35" s="81">
        <f t="shared" si="7"/>
        <v>0</v>
      </c>
      <c r="U35" s="81">
        <f t="shared" si="7"/>
        <v>0</v>
      </c>
      <c r="V35" s="81">
        <f t="shared" si="7"/>
        <v>0</v>
      </c>
      <c r="W35" s="81">
        <f t="shared" si="7"/>
        <v>0</v>
      </c>
      <c r="X35" s="81">
        <f t="shared" si="7"/>
        <v>0</v>
      </c>
      <c r="Y35" s="81">
        <f t="shared" si="7"/>
        <v>0</v>
      </c>
      <c r="Z35" s="81">
        <f t="shared" si="7"/>
        <v>0</v>
      </c>
      <c r="AA35" s="81">
        <f t="shared" si="7"/>
        <v>0</v>
      </c>
      <c r="AB35" s="81">
        <f t="shared" si="7"/>
        <v>0</v>
      </c>
      <c r="AC35" s="81">
        <f t="shared" si="7"/>
        <v>0</v>
      </c>
      <c r="AD35" s="81">
        <f t="shared" si="7"/>
        <v>0</v>
      </c>
    </row>
    <row r="36" spans="1:30" x14ac:dyDescent="0.2">
      <c r="A36" s="241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7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">
      <c r="A37" s="242" t="s">
        <v>102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7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">
      <c r="A38" s="241" t="s">
        <v>210</v>
      </c>
      <c r="B38" s="65">
        <f>'CIL Mgmt Assumptions'!$B53</f>
        <v>2000</v>
      </c>
      <c r="C38" s="65">
        <f>'CIL Mgmt Assumptions'!$B53</f>
        <v>2000</v>
      </c>
      <c r="D38" s="65">
        <f>'CIL Mgmt Assumptions'!$B53</f>
        <v>2000</v>
      </c>
      <c r="E38" s="65">
        <f>'CIL Mgmt Assumptions'!$B53</f>
        <v>2000</v>
      </c>
      <c r="F38" s="65">
        <f>'CIL Mgmt Assumptions'!$B53</f>
        <v>2000</v>
      </c>
      <c r="G38" s="65">
        <f>'CIL Mgmt Assumptions'!$B53</f>
        <v>2000</v>
      </c>
      <c r="H38" s="65">
        <f>'CIL Mgmt Assumptions'!$B53</f>
        <v>2000</v>
      </c>
      <c r="I38" s="65">
        <f>'CIL Mgmt Assumptions'!$B53</f>
        <v>2000</v>
      </c>
      <c r="J38" s="65">
        <f>'CIL Mgmt Assumptions'!$B53</f>
        <v>2000</v>
      </c>
      <c r="K38" s="65">
        <f>'CIL Mgmt Assumptions'!$B53</f>
        <v>2000</v>
      </c>
      <c r="L38" s="65">
        <f>'CIL Mgmt Assumptions'!$B53</f>
        <v>2000</v>
      </c>
      <c r="M38" s="65">
        <f>'CIL Mgmt Assumptions'!$B53</f>
        <v>2000</v>
      </c>
      <c r="N38" s="156">
        <f>SUM(B38:M38)</f>
        <v>24000</v>
      </c>
      <c r="O38" s="65">
        <f>$M38*(1+'CIL Mgmt Assumptions'!$D53)</f>
        <v>2100</v>
      </c>
      <c r="P38" s="65">
        <f>$M38*(1+'CIL Mgmt Assumptions'!$D53)</f>
        <v>2100</v>
      </c>
      <c r="Q38" s="65">
        <f>$M38*(1+'CIL Mgmt Assumptions'!$D53)</f>
        <v>2100</v>
      </c>
      <c r="R38" s="65">
        <f>$M38*(1+'CIL Mgmt Assumptions'!$D53)</f>
        <v>2100</v>
      </c>
      <c r="S38" s="65">
        <f>$M38*(1+'CIL Mgmt Assumptions'!$D53)</f>
        <v>2100</v>
      </c>
      <c r="T38" s="65">
        <f>$M38*(1+'CIL Mgmt Assumptions'!$D53)</f>
        <v>2100</v>
      </c>
      <c r="U38" s="65">
        <f>$M38*(1+'CIL Mgmt Assumptions'!$D53)</f>
        <v>2100</v>
      </c>
      <c r="V38" s="65">
        <f>$M38*(1+'CIL Mgmt Assumptions'!$D53)</f>
        <v>2100</v>
      </c>
      <c r="W38" s="65">
        <f>$M38*(1+'CIL Mgmt Assumptions'!$D53)</f>
        <v>2100</v>
      </c>
      <c r="X38" s="65">
        <f>$M38*(1+'CIL Mgmt Assumptions'!$D53)</f>
        <v>2100</v>
      </c>
      <c r="Y38" s="65">
        <f>$M38*(1+'CIL Mgmt Assumptions'!$D53)</f>
        <v>2100</v>
      </c>
      <c r="Z38" s="65">
        <f>$M38*(1+'CIL Mgmt Assumptions'!$D53)</f>
        <v>2100</v>
      </c>
      <c r="AA38" s="233">
        <f t="shared" ref="AA38" si="8">SUM(O38:Z38)</f>
        <v>25200</v>
      </c>
      <c r="AB38" s="96">
        <f>AA38*(1+'CIL Mgmt Assumptions'!E53)</f>
        <v>26460</v>
      </c>
      <c r="AC38" s="96">
        <f>AB38*(1+'CIL Mgmt Assumptions'!F53)</f>
        <v>27783</v>
      </c>
      <c r="AD38" s="96">
        <f>AC38*(1+'CIL Mgmt Assumptions'!G53)</f>
        <v>29172.15</v>
      </c>
    </row>
    <row r="39" spans="1:30" x14ac:dyDescent="0.2">
      <c r="A39" s="24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158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235"/>
      <c r="AB39" s="96"/>
      <c r="AC39" s="96"/>
      <c r="AD39" s="96"/>
    </row>
    <row r="40" spans="1:30" s="80" customFormat="1" collapsed="1" x14ac:dyDescent="0.2">
      <c r="A40" s="90" t="s">
        <v>103</v>
      </c>
      <c r="B40" s="85">
        <f t="shared" ref="B40:AD40" si="9">SUM(B38:B38)</f>
        <v>2000</v>
      </c>
      <c r="C40" s="85">
        <f t="shared" si="9"/>
        <v>2000</v>
      </c>
      <c r="D40" s="85">
        <f t="shared" si="9"/>
        <v>2000</v>
      </c>
      <c r="E40" s="85">
        <f t="shared" si="9"/>
        <v>2000</v>
      </c>
      <c r="F40" s="85">
        <f t="shared" si="9"/>
        <v>2000</v>
      </c>
      <c r="G40" s="85">
        <f t="shared" si="9"/>
        <v>2000</v>
      </c>
      <c r="H40" s="85">
        <f t="shared" si="9"/>
        <v>2000</v>
      </c>
      <c r="I40" s="85">
        <f t="shared" si="9"/>
        <v>2000</v>
      </c>
      <c r="J40" s="85">
        <f t="shared" si="9"/>
        <v>2000</v>
      </c>
      <c r="K40" s="85">
        <f t="shared" si="9"/>
        <v>2000</v>
      </c>
      <c r="L40" s="85">
        <f t="shared" si="9"/>
        <v>2000</v>
      </c>
      <c r="M40" s="85">
        <f t="shared" si="9"/>
        <v>2000</v>
      </c>
      <c r="N40" s="85">
        <f t="shared" si="9"/>
        <v>24000</v>
      </c>
      <c r="O40" s="85">
        <f t="shared" si="9"/>
        <v>2100</v>
      </c>
      <c r="P40" s="85">
        <f t="shared" si="9"/>
        <v>2100</v>
      </c>
      <c r="Q40" s="85">
        <f t="shared" si="9"/>
        <v>2100</v>
      </c>
      <c r="R40" s="85">
        <f t="shared" si="9"/>
        <v>2100</v>
      </c>
      <c r="S40" s="85">
        <f t="shared" si="9"/>
        <v>2100</v>
      </c>
      <c r="T40" s="85">
        <f t="shared" si="9"/>
        <v>2100</v>
      </c>
      <c r="U40" s="85">
        <f t="shared" si="9"/>
        <v>2100</v>
      </c>
      <c r="V40" s="85">
        <f t="shared" si="9"/>
        <v>2100</v>
      </c>
      <c r="W40" s="85">
        <f t="shared" si="9"/>
        <v>2100</v>
      </c>
      <c r="X40" s="85">
        <f t="shared" si="9"/>
        <v>2100</v>
      </c>
      <c r="Y40" s="85">
        <f t="shared" si="9"/>
        <v>2100</v>
      </c>
      <c r="Z40" s="85">
        <f t="shared" si="9"/>
        <v>2100</v>
      </c>
      <c r="AA40" s="85">
        <f t="shared" si="9"/>
        <v>25200</v>
      </c>
      <c r="AB40" s="85">
        <f t="shared" si="9"/>
        <v>26460</v>
      </c>
      <c r="AC40" s="85">
        <f t="shared" si="9"/>
        <v>27783</v>
      </c>
      <c r="AD40" s="85">
        <f t="shared" si="9"/>
        <v>29172.15</v>
      </c>
    </row>
    <row r="41" spans="1:30" s="80" customFormat="1" x14ac:dyDescent="0.2">
      <c r="A41" s="90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</row>
    <row r="42" spans="1:30" x14ac:dyDescent="0.2">
      <c r="A42" s="242" t="s">
        <v>73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40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</row>
    <row r="43" spans="1:30" x14ac:dyDescent="0.2">
      <c r="A43" s="241" t="s">
        <v>243</v>
      </c>
      <c r="B43" s="65">
        <f>'CIL Mgmt Assumptions'!$B61</f>
        <v>500</v>
      </c>
      <c r="C43" s="65">
        <f>'CIL Mgmt Assumptions'!$B61</f>
        <v>500</v>
      </c>
      <c r="D43" s="65">
        <f>'CIL Mgmt Assumptions'!$B61</f>
        <v>500</v>
      </c>
      <c r="E43" s="65">
        <f>'CIL Mgmt Assumptions'!$B61</f>
        <v>500</v>
      </c>
      <c r="F43" s="65">
        <f>'CIL Mgmt Assumptions'!$B61</f>
        <v>500</v>
      </c>
      <c r="G43" s="65">
        <f>'CIL Mgmt Assumptions'!$B61</f>
        <v>500</v>
      </c>
      <c r="H43" s="65">
        <f>'CIL Mgmt Assumptions'!$B61</f>
        <v>500</v>
      </c>
      <c r="I43" s="65">
        <f>'CIL Mgmt Assumptions'!$B61</f>
        <v>500</v>
      </c>
      <c r="J43" s="65">
        <f>'CIL Mgmt Assumptions'!$B61</f>
        <v>500</v>
      </c>
      <c r="K43" s="65">
        <f>'CIL Mgmt Assumptions'!$B61</f>
        <v>500</v>
      </c>
      <c r="L43" s="65">
        <f>'CIL Mgmt Assumptions'!$B61</f>
        <v>500</v>
      </c>
      <c r="M43" s="65">
        <f>'CIL Mgmt Assumptions'!$B61</f>
        <v>500</v>
      </c>
      <c r="N43" s="156">
        <f t="shared" ref="N43:N46" si="10">SUM(B43:M43)</f>
        <v>6000</v>
      </c>
      <c r="O43" s="65">
        <f>$M43*(1+'CIL Mgmt Assumptions'!D61)</f>
        <v>515</v>
      </c>
      <c r="P43" s="65">
        <f>$M43*(1+'CIL Mgmt Assumptions'!E61)</f>
        <v>515</v>
      </c>
      <c r="Q43" s="65">
        <f>$M43*(1+'CIL Mgmt Assumptions'!F61)</f>
        <v>515</v>
      </c>
      <c r="R43" s="65">
        <f>$M43*(1+'CIL Mgmt Assumptions'!G61)</f>
        <v>515</v>
      </c>
      <c r="S43" s="65">
        <f>$M43*(1+'CIL Mgmt Assumptions'!H61)</f>
        <v>500</v>
      </c>
      <c r="T43" s="65">
        <f>$M43*(1+'CIL Mgmt Assumptions'!I61)</f>
        <v>500</v>
      </c>
      <c r="U43" s="65">
        <f>$M43*(1+'CIL Mgmt Assumptions'!J61)</f>
        <v>500</v>
      </c>
      <c r="V43" s="65">
        <f>$M43*(1+'CIL Mgmt Assumptions'!K61)</f>
        <v>500</v>
      </c>
      <c r="W43" s="65">
        <f>$M43*(1+'CIL Mgmt Assumptions'!L61)</f>
        <v>500</v>
      </c>
      <c r="X43" s="65">
        <f>$M43*(1+'CIL Mgmt Assumptions'!M61)</f>
        <v>500</v>
      </c>
      <c r="Y43" s="65">
        <f>$M43*(1+'CIL Mgmt Assumptions'!N61)</f>
        <v>500</v>
      </c>
      <c r="Z43" s="65">
        <f>$M43*(1+'CIL Mgmt Assumptions'!O61)</f>
        <v>500</v>
      </c>
      <c r="AA43" s="233">
        <f t="shared" ref="AA43:AA46" si="11">SUM(O43:Z43)</f>
        <v>6060</v>
      </c>
      <c r="AB43" s="96">
        <f>AA43*(1+'CIL Mgmt Assumptions'!E61)</f>
        <v>6241.8</v>
      </c>
      <c r="AC43" s="96">
        <f>AB43*(1+'CIL Mgmt Assumptions'!F61)</f>
        <v>6429.0540000000001</v>
      </c>
      <c r="AD43" s="96">
        <f>AC43*(1+'CIL Mgmt Assumptions'!G61)</f>
        <v>6621.92562</v>
      </c>
    </row>
    <row r="44" spans="1:30" x14ac:dyDescent="0.2">
      <c r="A44" s="241" t="s">
        <v>248</v>
      </c>
      <c r="B44" s="65">
        <f>'CIL Mgmt Assumptions'!$B63</f>
        <v>100</v>
      </c>
      <c r="C44" s="65">
        <f>'CIL Mgmt Assumptions'!$B63</f>
        <v>100</v>
      </c>
      <c r="D44" s="65">
        <f>'CIL Mgmt Assumptions'!$B63</f>
        <v>100</v>
      </c>
      <c r="E44" s="65">
        <f>'CIL Mgmt Assumptions'!$B63</f>
        <v>100</v>
      </c>
      <c r="F44" s="65">
        <f>'CIL Mgmt Assumptions'!$B63</f>
        <v>100</v>
      </c>
      <c r="G44" s="65">
        <f>'CIL Mgmt Assumptions'!$B63</f>
        <v>100</v>
      </c>
      <c r="H44" s="65">
        <f>'CIL Mgmt Assumptions'!$B63</f>
        <v>100</v>
      </c>
      <c r="I44" s="65">
        <f>'CIL Mgmt Assumptions'!$B63</f>
        <v>100</v>
      </c>
      <c r="J44" s="65">
        <f>'CIL Mgmt Assumptions'!$B63</f>
        <v>100</v>
      </c>
      <c r="K44" s="65">
        <f>'CIL Mgmt Assumptions'!$B63</f>
        <v>100</v>
      </c>
      <c r="L44" s="65">
        <f>'CIL Mgmt Assumptions'!$B63</f>
        <v>100</v>
      </c>
      <c r="M44" s="65">
        <f>'CIL Mgmt Assumptions'!$B63</f>
        <v>100</v>
      </c>
      <c r="N44" s="156">
        <f t="shared" si="10"/>
        <v>1200</v>
      </c>
      <c r="O44" s="65">
        <f>$M44*(1+'CIL Mgmt Assumptions'!D63)</f>
        <v>103</v>
      </c>
      <c r="P44" s="65">
        <f>$M44*(1+'CIL Mgmt Assumptions'!E63)</f>
        <v>103</v>
      </c>
      <c r="Q44" s="65">
        <f>$M44*(1+'CIL Mgmt Assumptions'!F63)</f>
        <v>103</v>
      </c>
      <c r="R44" s="65">
        <f>$M44*(1+'CIL Mgmt Assumptions'!G63)</f>
        <v>103</v>
      </c>
      <c r="S44" s="65">
        <f>$M44*(1+'CIL Mgmt Assumptions'!H63)</f>
        <v>100</v>
      </c>
      <c r="T44" s="65">
        <f>$M44*(1+'CIL Mgmt Assumptions'!I63)</f>
        <v>100</v>
      </c>
      <c r="U44" s="65">
        <f>$M44*(1+'CIL Mgmt Assumptions'!J63)</f>
        <v>100</v>
      </c>
      <c r="V44" s="65">
        <f>$M44*(1+'CIL Mgmt Assumptions'!K63)</f>
        <v>100</v>
      </c>
      <c r="W44" s="65">
        <f>$M44*(1+'CIL Mgmt Assumptions'!L63)</f>
        <v>100</v>
      </c>
      <c r="X44" s="65">
        <f>$M44*(1+'CIL Mgmt Assumptions'!M63)</f>
        <v>100</v>
      </c>
      <c r="Y44" s="65">
        <f>$M44*(1+'CIL Mgmt Assumptions'!N63)</f>
        <v>100</v>
      </c>
      <c r="Z44" s="65">
        <f>$M44*(1+'CIL Mgmt Assumptions'!O63)</f>
        <v>100</v>
      </c>
      <c r="AA44" s="233">
        <f t="shared" si="11"/>
        <v>1212</v>
      </c>
      <c r="AB44" s="96">
        <f>AA44*(1+'CIL Mgmt Assumptions'!E63)</f>
        <v>1248.3600000000001</v>
      </c>
      <c r="AC44" s="96">
        <f>AB44*(1+'CIL Mgmt Assumptions'!F63)</f>
        <v>1285.8108000000002</v>
      </c>
      <c r="AD44" s="96">
        <f>AC44*(1+'CIL Mgmt Assumptions'!G63)</f>
        <v>1324.3851240000001</v>
      </c>
    </row>
    <row r="45" spans="1:30" x14ac:dyDescent="0.2">
      <c r="A45" s="241" t="s">
        <v>531</v>
      </c>
      <c r="B45" s="65">
        <f>B13*'CIL Mgmt Assumptions'!$B$64</f>
        <v>32.4</v>
      </c>
      <c r="C45" s="65">
        <f>C13*'CIL Mgmt Assumptions'!$B$64</f>
        <v>32.4</v>
      </c>
      <c r="D45" s="65">
        <f>D13*'CIL Mgmt Assumptions'!$B$64</f>
        <v>9065.8240000000005</v>
      </c>
      <c r="E45" s="65">
        <f>E13*'CIL Mgmt Assumptions'!$B$64</f>
        <v>18203.620200000001</v>
      </c>
      <c r="F45" s="65">
        <f>F13*'CIL Mgmt Assumptions'!$B$64</f>
        <v>27365.0442</v>
      </c>
      <c r="G45" s="65">
        <f>G13*'CIL Mgmt Assumptions'!$B$64</f>
        <v>36519.240400000002</v>
      </c>
      <c r="H45" s="65">
        <f>H13*'CIL Mgmt Assumptions'!$B$64</f>
        <v>45678.180999999997</v>
      </c>
      <c r="I45" s="65">
        <f>I13*'CIL Mgmt Assumptions'!$B$64</f>
        <v>55512.573000000004</v>
      </c>
      <c r="J45" s="65">
        <f>J13*'CIL Mgmt Assumptions'!$B$64</f>
        <v>65376.721300000005</v>
      </c>
      <c r="K45" s="65">
        <f>K13*'CIL Mgmt Assumptions'!$B$64</f>
        <v>74492.945300000007</v>
      </c>
      <c r="L45" s="65">
        <f>L13*'CIL Mgmt Assumptions'!$B$64</f>
        <v>83526.369300000006</v>
      </c>
      <c r="M45" s="65">
        <f>M13*'CIL Mgmt Assumptions'!$B$64</f>
        <v>83616.244200000001</v>
      </c>
      <c r="N45" s="156">
        <f t="shared" si="10"/>
        <v>499421.56290000008</v>
      </c>
      <c r="O45" s="65">
        <f>O13*('CIL Mgmt Assumptions'!$B$64+'CIL Mgmt Assumptions'!$D$64)</f>
        <v>83616.244200000001</v>
      </c>
      <c r="P45" s="65">
        <f>P13*('CIL Mgmt Assumptions'!$B$64+'CIL Mgmt Assumptions'!$D$64)</f>
        <v>83703.364199999996</v>
      </c>
      <c r="Q45" s="65">
        <f>Q13*('CIL Mgmt Assumptions'!$B$64+'CIL Mgmt Assumptions'!$D$64)</f>
        <v>83742.964199999988</v>
      </c>
      <c r="R45" s="65">
        <f>R13*('CIL Mgmt Assumptions'!$B$64+'CIL Mgmt Assumptions'!$D$64)</f>
        <v>83782.564199999993</v>
      </c>
      <c r="S45" s="65">
        <f>S13*('CIL Mgmt Assumptions'!$B$64+'CIL Mgmt Assumptions'!$D$64)</f>
        <v>83822.164199999999</v>
      </c>
      <c r="T45" s="65">
        <f>T13*('CIL Mgmt Assumptions'!$B$64+'CIL Mgmt Assumptions'!$D$64)</f>
        <v>83861.764199999991</v>
      </c>
      <c r="U45" s="65">
        <f>U13*('CIL Mgmt Assumptions'!$B$64+'CIL Mgmt Assumptions'!$D$64)</f>
        <v>83901.364199999996</v>
      </c>
      <c r="V45" s="65">
        <f>V13*('CIL Mgmt Assumptions'!$B$64+'CIL Mgmt Assumptions'!$D$64)</f>
        <v>83940.964199999988</v>
      </c>
      <c r="W45" s="65">
        <f>W13*('CIL Mgmt Assumptions'!$B$64+'CIL Mgmt Assumptions'!$D$64)</f>
        <v>83980.564199999993</v>
      </c>
      <c r="X45" s="65">
        <f>X13*('CIL Mgmt Assumptions'!$B$64+'CIL Mgmt Assumptions'!$D$64)</f>
        <v>84020.164199999999</v>
      </c>
      <c r="Y45" s="65">
        <f>Y13*('CIL Mgmt Assumptions'!$B$64+'CIL Mgmt Assumptions'!$D$64)</f>
        <v>84020.164199999999</v>
      </c>
      <c r="Z45" s="65">
        <f>Z13*('CIL Mgmt Assumptions'!$B$64+'CIL Mgmt Assumptions'!$D$64)</f>
        <v>84020.164199999999</v>
      </c>
      <c r="AA45" s="233">
        <f t="shared" si="11"/>
        <v>1006412.4503999999</v>
      </c>
      <c r="AB45" s="96">
        <f>AA13*('CIL Mgmt Assumptions'!$B$64+'CIL Mgmt Assumptions'!D64+'CIL Mgmt Assumptions'!E64)</f>
        <v>1006412.4504000001</v>
      </c>
      <c r="AC45" s="96">
        <f>AC13*('CIL Mgmt Assumptions'!$B$64+'CIL Mgmt Assumptions'!D64+'CIL Mgmt Assumptions'!E64+'CIL Mgmt Assumptions'!F64)</f>
        <v>1043662.3894245599</v>
      </c>
      <c r="AD45" s="96">
        <f>AD13*('CIL Mgmt Assumptions'!$B$64+'CIL Mgmt Assumptions'!D64+'CIL Mgmt Assumptions'!E64+'CIL Mgmt Assumptions'!F64+'CIL Mgmt Assumptions'!G64)</f>
        <v>1074972.2611072967</v>
      </c>
    </row>
    <row r="46" spans="1:30" x14ac:dyDescent="0.2">
      <c r="A46" s="241" t="s">
        <v>242</v>
      </c>
      <c r="B46" s="65">
        <f>'CIL Mgmt Assumptions'!$B65</f>
        <v>1000</v>
      </c>
      <c r="C46" s="65">
        <f>'CIL Mgmt Assumptions'!$B65</f>
        <v>1000</v>
      </c>
      <c r="D46" s="65">
        <f>'CIL Mgmt Assumptions'!$B65</f>
        <v>1000</v>
      </c>
      <c r="E46" s="65">
        <f>'CIL Mgmt Assumptions'!$B65</f>
        <v>1000</v>
      </c>
      <c r="F46" s="65">
        <f>'CIL Mgmt Assumptions'!$B65</f>
        <v>1000</v>
      </c>
      <c r="G46" s="65">
        <f>'CIL Mgmt Assumptions'!$B65</f>
        <v>1000</v>
      </c>
      <c r="H46" s="65">
        <f>'CIL Mgmt Assumptions'!$B65</f>
        <v>1000</v>
      </c>
      <c r="I46" s="65">
        <f>'CIL Mgmt Assumptions'!$B65</f>
        <v>1000</v>
      </c>
      <c r="J46" s="65">
        <f>'CIL Mgmt Assumptions'!$B65</f>
        <v>1000</v>
      </c>
      <c r="K46" s="65">
        <f>'CIL Mgmt Assumptions'!$B65</f>
        <v>1000</v>
      </c>
      <c r="L46" s="65">
        <f>'CIL Mgmt Assumptions'!$B65</f>
        <v>1000</v>
      </c>
      <c r="M46" s="65">
        <f>'CIL Mgmt Assumptions'!$B65</f>
        <v>1000</v>
      </c>
      <c r="N46" s="156">
        <f t="shared" si="10"/>
        <v>12000</v>
      </c>
      <c r="O46" s="65">
        <f>$M46*(1+'CIL Mgmt Assumptions'!$D65)</f>
        <v>1030</v>
      </c>
      <c r="P46" s="65">
        <f>$M46*(1+'CIL Mgmt Assumptions'!$D65)</f>
        <v>1030</v>
      </c>
      <c r="Q46" s="65">
        <f>$M46*(1+'CIL Mgmt Assumptions'!$D65)</f>
        <v>1030</v>
      </c>
      <c r="R46" s="65">
        <f>$M46*(1+'CIL Mgmt Assumptions'!$D65)</f>
        <v>1030</v>
      </c>
      <c r="S46" s="65">
        <f>$M46*(1+'CIL Mgmt Assumptions'!$D65)</f>
        <v>1030</v>
      </c>
      <c r="T46" s="65">
        <f>$M46*(1+'CIL Mgmt Assumptions'!$D65)</f>
        <v>1030</v>
      </c>
      <c r="U46" s="65">
        <f>$M46*(1+'CIL Mgmt Assumptions'!$D65)</f>
        <v>1030</v>
      </c>
      <c r="V46" s="65">
        <f>$M46*(1+'CIL Mgmt Assumptions'!$D65)</f>
        <v>1030</v>
      </c>
      <c r="W46" s="65">
        <f>$M46*(1+'CIL Mgmt Assumptions'!$D65)</f>
        <v>1030</v>
      </c>
      <c r="X46" s="65">
        <f>$M46*(1+'CIL Mgmt Assumptions'!$D65)</f>
        <v>1030</v>
      </c>
      <c r="Y46" s="65">
        <f>$M46*(1+'CIL Mgmt Assumptions'!$D65)</f>
        <v>1030</v>
      </c>
      <c r="Z46" s="65">
        <f>$M46*(1+'CIL Mgmt Assumptions'!$D65)</f>
        <v>1030</v>
      </c>
      <c r="AA46" s="233">
        <f t="shared" si="11"/>
        <v>12360</v>
      </c>
      <c r="AB46" s="96">
        <f>AA46*(1+'CIL Mgmt Assumptions'!E65)</f>
        <v>12730.800000000001</v>
      </c>
      <c r="AC46" s="96">
        <f>AB46*(1+'CIL Mgmt Assumptions'!F65)</f>
        <v>13112.724000000002</v>
      </c>
      <c r="AD46" s="96">
        <f>AC46*(1+'CIL Mgmt Assumptions'!G65)</f>
        <v>13506.105720000003</v>
      </c>
    </row>
    <row r="47" spans="1:30" x14ac:dyDescent="0.2">
      <c r="A47" s="241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160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35"/>
      <c r="AB47" s="244"/>
      <c r="AC47" s="244"/>
      <c r="AD47" s="244"/>
    </row>
    <row r="48" spans="1:30" s="223" customFormat="1" collapsed="1" x14ac:dyDescent="0.2">
      <c r="A48" s="242" t="s">
        <v>74</v>
      </c>
      <c r="B48" s="94">
        <f>SUM(B42:B47)</f>
        <v>1632.4</v>
      </c>
      <c r="C48" s="94">
        <f t="shared" ref="C48:AD48" si="12">SUM(C42:C47)</f>
        <v>1632.4</v>
      </c>
      <c r="D48" s="94">
        <f t="shared" si="12"/>
        <v>10665.824000000001</v>
      </c>
      <c r="E48" s="94">
        <f t="shared" si="12"/>
        <v>19803.620200000001</v>
      </c>
      <c r="F48" s="94">
        <f t="shared" si="12"/>
        <v>28965.0442</v>
      </c>
      <c r="G48" s="94">
        <f t="shared" si="12"/>
        <v>38119.240400000002</v>
      </c>
      <c r="H48" s="94">
        <f t="shared" si="12"/>
        <v>47278.180999999997</v>
      </c>
      <c r="I48" s="94">
        <f t="shared" si="12"/>
        <v>57112.573000000004</v>
      </c>
      <c r="J48" s="94">
        <f t="shared" si="12"/>
        <v>66976.721300000005</v>
      </c>
      <c r="K48" s="94">
        <f t="shared" si="12"/>
        <v>76092.945300000007</v>
      </c>
      <c r="L48" s="94">
        <f t="shared" si="12"/>
        <v>85126.369300000006</v>
      </c>
      <c r="M48" s="94">
        <f t="shared" si="12"/>
        <v>85216.244200000001</v>
      </c>
      <c r="N48" s="94">
        <f t="shared" si="12"/>
        <v>518621.56290000008</v>
      </c>
      <c r="O48" s="94">
        <f t="shared" si="12"/>
        <v>85264.244200000001</v>
      </c>
      <c r="P48" s="94">
        <f t="shared" si="12"/>
        <v>85351.364199999996</v>
      </c>
      <c r="Q48" s="94">
        <f t="shared" si="12"/>
        <v>85390.964199999988</v>
      </c>
      <c r="R48" s="94">
        <f t="shared" si="12"/>
        <v>85430.564199999993</v>
      </c>
      <c r="S48" s="94">
        <f t="shared" si="12"/>
        <v>85452.164199999999</v>
      </c>
      <c r="T48" s="94">
        <f t="shared" si="12"/>
        <v>85491.764199999991</v>
      </c>
      <c r="U48" s="94">
        <f t="shared" si="12"/>
        <v>85531.364199999996</v>
      </c>
      <c r="V48" s="94">
        <f t="shared" si="12"/>
        <v>85570.964199999988</v>
      </c>
      <c r="W48" s="94">
        <f t="shared" si="12"/>
        <v>85610.564199999993</v>
      </c>
      <c r="X48" s="94">
        <f t="shared" si="12"/>
        <v>85650.164199999999</v>
      </c>
      <c r="Y48" s="94">
        <f t="shared" si="12"/>
        <v>85650.164199999999</v>
      </c>
      <c r="Z48" s="94">
        <f t="shared" si="12"/>
        <v>85650.164199999999</v>
      </c>
      <c r="AA48" s="94">
        <f t="shared" si="12"/>
        <v>1026044.4503999999</v>
      </c>
      <c r="AB48" s="94">
        <f t="shared" si="12"/>
        <v>1026633.4104000002</v>
      </c>
      <c r="AC48" s="94">
        <f t="shared" si="12"/>
        <v>1064489.9782245599</v>
      </c>
      <c r="AD48" s="94">
        <f t="shared" si="12"/>
        <v>1096424.6775712967</v>
      </c>
    </row>
    <row r="49" spans="1:36" x14ac:dyDescent="0.2">
      <c r="A49" s="242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4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</row>
    <row r="50" spans="1:36" s="223" customFormat="1" x14ac:dyDescent="0.2">
      <c r="A50" s="242" t="s">
        <v>254</v>
      </c>
      <c r="B50" s="148">
        <f t="shared" ref="B50:AD50" si="13">SUM(B16:B49)/2</f>
        <v>3632.3999999999996</v>
      </c>
      <c r="C50" s="148">
        <f t="shared" si="13"/>
        <v>3632.3999999999996</v>
      </c>
      <c r="D50" s="148">
        <f t="shared" si="13"/>
        <v>12665.824000000001</v>
      </c>
      <c r="E50" s="148">
        <f t="shared" si="13"/>
        <v>21803.620200000001</v>
      </c>
      <c r="F50" s="148">
        <f t="shared" si="13"/>
        <v>30965.044200000004</v>
      </c>
      <c r="G50" s="148">
        <f t="shared" si="13"/>
        <v>40119.240400000002</v>
      </c>
      <c r="H50" s="148">
        <f t="shared" si="13"/>
        <v>49278.180999999997</v>
      </c>
      <c r="I50" s="148">
        <f t="shared" si="13"/>
        <v>59112.573000000004</v>
      </c>
      <c r="J50" s="148">
        <f t="shared" si="13"/>
        <v>68976.721300000005</v>
      </c>
      <c r="K50" s="148">
        <f t="shared" si="13"/>
        <v>78092.945300000007</v>
      </c>
      <c r="L50" s="148">
        <f t="shared" si="13"/>
        <v>87126.369300000006</v>
      </c>
      <c r="M50" s="148">
        <f t="shared" si="13"/>
        <v>87216.244200000001</v>
      </c>
      <c r="N50" s="148">
        <f t="shared" si="13"/>
        <v>542621.56290000002</v>
      </c>
      <c r="O50" s="148">
        <f t="shared" si="13"/>
        <v>87364.244200000001</v>
      </c>
      <c r="P50" s="148">
        <f t="shared" si="13"/>
        <v>87451.364199999996</v>
      </c>
      <c r="Q50" s="148">
        <f t="shared" si="13"/>
        <v>87490.964199999988</v>
      </c>
      <c r="R50" s="148">
        <f t="shared" si="13"/>
        <v>87530.564199999993</v>
      </c>
      <c r="S50" s="148">
        <f t="shared" si="13"/>
        <v>87552.164199999999</v>
      </c>
      <c r="T50" s="148">
        <f t="shared" si="13"/>
        <v>87591.764199999991</v>
      </c>
      <c r="U50" s="148">
        <f t="shared" si="13"/>
        <v>87631.364199999996</v>
      </c>
      <c r="V50" s="148">
        <f t="shared" si="13"/>
        <v>87670.964199999988</v>
      </c>
      <c r="W50" s="148">
        <f t="shared" si="13"/>
        <v>87710.564199999993</v>
      </c>
      <c r="X50" s="148">
        <f t="shared" si="13"/>
        <v>87750.164199999999</v>
      </c>
      <c r="Y50" s="148">
        <f t="shared" si="13"/>
        <v>87750.164199999999</v>
      </c>
      <c r="Z50" s="148">
        <f t="shared" si="13"/>
        <v>87750.164199999999</v>
      </c>
      <c r="AA50" s="148">
        <f t="shared" si="13"/>
        <v>1051244.4504</v>
      </c>
      <c r="AB50" s="148">
        <f t="shared" si="13"/>
        <v>1053093.4104000002</v>
      </c>
      <c r="AC50" s="148">
        <f t="shared" si="13"/>
        <v>1092272.9782245599</v>
      </c>
      <c r="AD50" s="148">
        <f t="shared" si="13"/>
        <v>1125596.8275712966</v>
      </c>
    </row>
    <row r="51" spans="1:36" s="223" customFormat="1" x14ac:dyDescent="0.2">
      <c r="A51" s="242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</row>
    <row r="52" spans="1:36" s="88" customFormat="1" x14ac:dyDescent="0.2">
      <c r="A52" s="90" t="s">
        <v>270</v>
      </c>
      <c r="B52" s="81">
        <f t="shared" ref="B52:AD52" si="14">B13-B50</f>
        <v>-3308.3999999999996</v>
      </c>
      <c r="C52" s="81">
        <f t="shared" si="14"/>
        <v>-3308.3999999999996</v>
      </c>
      <c r="D52" s="81">
        <f t="shared" si="14"/>
        <v>77992.415999999997</v>
      </c>
      <c r="E52" s="81">
        <f t="shared" si="14"/>
        <v>160232.58180000001</v>
      </c>
      <c r="F52" s="81">
        <f t="shared" si="14"/>
        <v>242685.39779999998</v>
      </c>
      <c r="G52" s="81">
        <f t="shared" si="14"/>
        <v>325073.16360000003</v>
      </c>
      <c r="H52" s="81">
        <f t="shared" si="14"/>
        <v>407503.62899999996</v>
      </c>
      <c r="I52" s="81">
        <f t="shared" si="14"/>
        <v>496013.15700000001</v>
      </c>
      <c r="J52" s="81">
        <f t="shared" si="14"/>
        <v>584790.49170000001</v>
      </c>
      <c r="K52" s="81">
        <f t="shared" si="14"/>
        <v>666836.50770000007</v>
      </c>
      <c r="L52" s="81">
        <f t="shared" si="14"/>
        <v>748137.32369999995</v>
      </c>
      <c r="M52" s="81">
        <f t="shared" si="14"/>
        <v>748946.19779999997</v>
      </c>
      <c r="N52" s="81">
        <f t="shared" si="14"/>
        <v>4451594.0660999995</v>
      </c>
      <c r="O52" s="81">
        <f t="shared" si="14"/>
        <v>748798.19779999997</v>
      </c>
      <c r="P52" s="81">
        <f t="shared" si="14"/>
        <v>749582.27779999992</v>
      </c>
      <c r="Q52" s="81">
        <f t="shared" si="14"/>
        <v>749938.67779999995</v>
      </c>
      <c r="R52" s="81">
        <f t="shared" si="14"/>
        <v>750295.07779999985</v>
      </c>
      <c r="S52" s="81">
        <f t="shared" si="14"/>
        <v>750669.47779999988</v>
      </c>
      <c r="T52" s="81">
        <f t="shared" si="14"/>
        <v>751025.8777999999</v>
      </c>
      <c r="U52" s="81">
        <f t="shared" si="14"/>
        <v>751382.27779999992</v>
      </c>
      <c r="V52" s="81">
        <f t="shared" si="14"/>
        <v>751738.67779999995</v>
      </c>
      <c r="W52" s="81">
        <f t="shared" si="14"/>
        <v>752095.07779999985</v>
      </c>
      <c r="X52" s="81">
        <f t="shared" si="14"/>
        <v>752451.47779999988</v>
      </c>
      <c r="Y52" s="81">
        <f t="shared" si="14"/>
        <v>752451.47779999988</v>
      </c>
      <c r="Z52" s="81">
        <f t="shared" si="14"/>
        <v>752451.47779999988</v>
      </c>
      <c r="AA52" s="81">
        <f t="shared" si="14"/>
        <v>9012880.0536000002</v>
      </c>
      <c r="AB52" s="81">
        <f t="shared" si="14"/>
        <v>9303714.031200001</v>
      </c>
      <c r="AC52" s="81">
        <f t="shared" si="14"/>
        <v>9344350.9160210378</v>
      </c>
      <c r="AD52" s="81">
        <f t="shared" si="14"/>
        <v>9624125.7835016698</v>
      </c>
      <c r="AE52" s="80"/>
      <c r="AF52" s="80"/>
      <c r="AG52" s="80"/>
      <c r="AH52" s="80"/>
      <c r="AI52" s="80"/>
      <c r="AJ52" s="80"/>
    </row>
    <row r="53" spans="1:36" s="225" customFormat="1" x14ac:dyDescent="0.2">
      <c r="A53" s="245" t="s">
        <v>400</v>
      </c>
      <c r="B53" s="89">
        <f t="shared" ref="B53:D53" si="15">IF(ISERROR(B52/B$13),"",B52/B$13)</f>
        <v>-10.21111111111111</v>
      </c>
      <c r="C53" s="89">
        <f t="shared" si="15"/>
        <v>-10.21111111111111</v>
      </c>
      <c r="D53" s="89">
        <f t="shared" si="15"/>
        <v>0.86029042699262626</v>
      </c>
      <c r="E53" s="89">
        <f>IF(ISERROR(E52/E$13),"",E52/E$13)</f>
        <v>0.88022371396212717</v>
      </c>
      <c r="F53" s="89">
        <f t="shared" ref="F53:AD53" si="16">IF(ISERROR(F52/F$13),"",F52/F$13)</f>
        <v>0.88684453065856916</v>
      </c>
      <c r="G53" s="89">
        <f t="shared" si="16"/>
        <v>0.8901421826944681</v>
      </c>
      <c r="H53" s="89">
        <f t="shared" si="16"/>
        <v>0.89211877548276275</v>
      </c>
      <c r="I53" s="89">
        <f t="shared" si="16"/>
        <v>0.89351498263285334</v>
      </c>
      <c r="J53" s="89">
        <f t="shared" si="16"/>
        <v>0.89449345282477488</v>
      </c>
      <c r="K53" s="89">
        <f t="shared" si="16"/>
        <v>0.89516732761001461</v>
      </c>
      <c r="L53" s="89">
        <f t="shared" si="16"/>
        <v>0.8956899838575888</v>
      </c>
      <c r="M53" s="89">
        <f t="shared" si="16"/>
        <v>0.89569461647740456</v>
      </c>
      <c r="N53" s="164">
        <f t="shared" si="16"/>
        <v>0.89134999303010665</v>
      </c>
      <c r="O53" s="89">
        <f t="shared" si="16"/>
        <v>0.89551761737703117</v>
      </c>
      <c r="P53" s="89">
        <f t="shared" si="16"/>
        <v>0.89552228272325529</v>
      </c>
      <c r="Q53" s="89">
        <f t="shared" si="16"/>
        <v>0.89552440012626167</v>
      </c>
      <c r="R53" s="89">
        <f t="shared" si="16"/>
        <v>0.89552651552767826</v>
      </c>
      <c r="S53" s="89">
        <f t="shared" si="16"/>
        <v>0.89555010296429449</v>
      </c>
      <c r="T53" s="89">
        <f t="shared" si="16"/>
        <v>0.89555220423087645</v>
      </c>
      <c r="U53" s="89">
        <f t="shared" si="16"/>
        <v>0.89555430351393506</v>
      </c>
      <c r="V53" s="89">
        <f t="shared" si="16"/>
        <v>0.89555640081627752</v>
      </c>
      <c r="W53" s="89">
        <f t="shared" si="16"/>
        <v>0.89555849614070582</v>
      </c>
      <c r="X53" s="89">
        <f t="shared" si="16"/>
        <v>0.89556058949001671</v>
      </c>
      <c r="Y53" s="89">
        <f t="shared" si="16"/>
        <v>0.89556058949001671</v>
      </c>
      <c r="Z53" s="89">
        <f t="shared" si="16"/>
        <v>0.89556058949001671</v>
      </c>
      <c r="AA53" s="89">
        <f t="shared" si="16"/>
        <v>0.89554536512518479</v>
      </c>
      <c r="AB53" s="89">
        <f t="shared" si="16"/>
        <v>0.8983187226046071</v>
      </c>
      <c r="AC53" s="89">
        <f t="shared" si="16"/>
        <v>0.89534230712033203</v>
      </c>
      <c r="AD53" s="89">
        <f t="shared" si="16"/>
        <v>0.89529061648420083</v>
      </c>
    </row>
    <row r="54" spans="1:36" x14ac:dyDescent="0.2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165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</row>
    <row r="55" spans="1:36" x14ac:dyDescent="0.2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165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1:36" x14ac:dyDescent="0.2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165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 spans="1:36" x14ac:dyDescent="0.2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165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 spans="1:36" x14ac:dyDescent="0.2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165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:36" x14ac:dyDescent="0.2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165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36" x14ac:dyDescent="0.2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165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36" x14ac:dyDescent="0.2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165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36" x14ac:dyDescent="0.2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165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36" x14ac:dyDescent="0.2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165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36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165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2:30" x14ac:dyDescent="0.2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165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2:30" x14ac:dyDescent="0.2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165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0" x14ac:dyDescent="0.2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165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2:30" x14ac:dyDescent="0.2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165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2:30" x14ac:dyDescent="0.2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165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2:30" x14ac:dyDescent="0.2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165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2:30" x14ac:dyDescent="0.2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165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2:30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65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2:30" x14ac:dyDescent="0.2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165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2:30" x14ac:dyDescent="0.2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165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2:30" x14ac:dyDescent="0.2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165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2:30" x14ac:dyDescent="0.2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165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2:30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165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2:30" x14ac:dyDescent="0.2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165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2:30" x14ac:dyDescent="0.2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165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2:30" x14ac:dyDescent="0.2"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165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2:30" x14ac:dyDescent="0.2"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165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2:30" x14ac:dyDescent="0.2"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165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2:30" x14ac:dyDescent="0.2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165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2:30" x14ac:dyDescent="0.2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165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2:30" x14ac:dyDescent="0.2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165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2:30" x14ac:dyDescent="0.2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165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2:30" x14ac:dyDescent="0.2"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165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2:30" x14ac:dyDescent="0.2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165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2:30" x14ac:dyDescent="0.2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165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2:30" x14ac:dyDescent="0.2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165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2:30" x14ac:dyDescent="0.2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165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2:30" x14ac:dyDescent="0.2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165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2:30" x14ac:dyDescent="0.2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165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2:30" x14ac:dyDescent="0.2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165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2:30" x14ac:dyDescent="0.2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165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2:30" x14ac:dyDescent="0.2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165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2:30" x14ac:dyDescent="0.2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1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2:30" x14ac:dyDescent="0.2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165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2:30" x14ac:dyDescent="0.2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165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2:30" x14ac:dyDescent="0.2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165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2:30" x14ac:dyDescent="0.2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165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2:30" x14ac:dyDescent="0.2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165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2:30" x14ac:dyDescent="0.2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165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2:30" x14ac:dyDescent="0.2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165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2:30" x14ac:dyDescent="0.2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165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2:30" x14ac:dyDescent="0.2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165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2:30" x14ac:dyDescent="0.2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165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2:30" x14ac:dyDescent="0.2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165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2:30" x14ac:dyDescent="0.2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165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2:30" x14ac:dyDescent="0.2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165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2:30" x14ac:dyDescent="0.2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165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 spans="2:30" x14ac:dyDescent="0.2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165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 spans="2:30" x14ac:dyDescent="0.2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165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2:30" x14ac:dyDescent="0.2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165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2:30" x14ac:dyDescent="0.2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165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2:30" x14ac:dyDescent="0.2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165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 spans="2:30" x14ac:dyDescent="0.2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165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 spans="2:30" x14ac:dyDescent="0.2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165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2:30" x14ac:dyDescent="0.2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165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2:30" x14ac:dyDescent="0.2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165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 spans="2:30" x14ac:dyDescent="0.2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165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 spans="2:30" x14ac:dyDescent="0.2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165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2:30" x14ac:dyDescent="0.2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165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2:30" x14ac:dyDescent="0.2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165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 spans="2:30" x14ac:dyDescent="0.2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165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 spans="2:30" x14ac:dyDescent="0.2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165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2:30" x14ac:dyDescent="0.2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165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2:30" x14ac:dyDescent="0.2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165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 spans="2:30" x14ac:dyDescent="0.2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165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2:30" x14ac:dyDescent="0.2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165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30" x14ac:dyDescent="0.2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165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2:30" x14ac:dyDescent="0.2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165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 spans="2:30" x14ac:dyDescent="0.2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165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 spans="2:30" x14ac:dyDescent="0.2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165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2:30" x14ac:dyDescent="0.2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165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2:30" x14ac:dyDescent="0.2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165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 spans="2:30" x14ac:dyDescent="0.2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165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2:30" x14ac:dyDescent="0.2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165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 spans="2:30" x14ac:dyDescent="0.2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165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  <row r="140" spans="2:30" x14ac:dyDescent="0.2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165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</row>
    <row r="141" spans="2:30" x14ac:dyDescent="0.2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165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</row>
    <row r="142" spans="2:30" x14ac:dyDescent="0.2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165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</row>
    <row r="143" spans="2:30" x14ac:dyDescent="0.2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165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 spans="2:30" x14ac:dyDescent="0.2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165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</row>
    <row r="145" spans="2:30" x14ac:dyDescent="0.2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165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</row>
    <row r="146" spans="2:30" x14ac:dyDescent="0.2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165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</row>
    <row r="147" spans="2:30" x14ac:dyDescent="0.2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165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</row>
    <row r="148" spans="2:30" x14ac:dyDescent="0.2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165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</row>
    <row r="149" spans="2:30" x14ac:dyDescent="0.2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165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2:30" x14ac:dyDescent="0.2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165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 spans="2:30" x14ac:dyDescent="0.2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165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</row>
    <row r="152" spans="2:30" x14ac:dyDescent="0.2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165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</row>
    <row r="153" spans="2:30" x14ac:dyDescent="0.2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165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</row>
    <row r="154" spans="2:30" x14ac:dyDescent="0.2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165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</row>
    <row r="155" spans="2:30" x14ac:dyDescent="0.2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165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 spans="2:30" x14ac:dyDescent="0.2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165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7" spans="2:30" x14ac:dyDescent="0.2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165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</row>
    <row r="158" spans="2:30" x14ac:dyDescent="0.2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165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</row>
    <row r="159" spans="2:30" x14ac:dyDescent="0.2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165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</row>
    <row r="160" spans="2:30" x14ac:dyDescent="0.2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165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</row>
    <row r="161" spans="2:30" x14ac:dyDescent="0.2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165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</row>
    <row r="162" spans="2:30" x14ac:dyDescent="0.2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165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</row>
    <row r="163" spans="2:30" x14ac:dyDescent="0.2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165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</row>
    <row r="164" spans="2:30" x14ac:dyDescent="0.2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165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</row>
    <row r="165" spans="2:30" x14ac:dyDescent="0.2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165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</row>
    <row r="166" spans="2:30" x14ac:dyDescent="0.2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165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</row>
    <row r="167" spans="2:30" x14ac:dyDescent="0.2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165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</row>
    <row r="168" spans="2:30" x14ac:dyDescent="0.2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165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</row>
    <row r="169" spans="2:30" x14ac:dyDescent="0.2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165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</row>
    <row r="170" spans="2:30" x14ac:dyDescent="0.2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165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</row>
    <row r="171" spans="2:30" x14ac:dyDescent="0.2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165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</row>
    <row r="172" spans="2:30" x14ac:dyDescent="0.2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165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</row>
    <row r="173" spans="2:30" x14ac:dyDescent="0.2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165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</row>
    <row r="174" spans="2:30" x14ac:dyDescent="0.2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165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</row>
    <row r="175" spans="2:30" x14ac:dyDescent="0.2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165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</row>
    <row r="176" spans="2:30" x14ac:dyDescent="0.2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165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</row>
    <row r="177" spans="2:30" x14ac:dyDescent="0.2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165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</row>
    <row r="178" spans="2:30" x14ac:dyDescent="0.2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165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</row>
    <row r="179" spans="2:30" x14ac:dyDescent="0.2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165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</row>
    <row r="180" spans="2:30" x14ac:dyDescent="0.2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165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</row>
    <row r="181" spans="2:30" x14ac:dyDescent="0.2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165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</row>
    <row r="182" spans="2:30" x14ac:dyDescent="0.2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165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</row>
    <row r="183" spans="2:30" x14ac:dyDescent="0.2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165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</row>
    <row r="184" spans="2:30" x14ac:dyDescent="0.2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165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</row>
    <row r="185" spans="2:30" x14ac:dyDescent="0.2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165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</row>
    <row r="186" spans="2:30" x14ac:dyDescent="0.2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165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</row>
    <row r="187" spans="2:30" x14ac:dyDescent="0.2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165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</row>
  </sheetData>
  <sheetProtection formatCells="0" formatColumns="0" formatRows="0"/>
  <printOptions headings="1"/>
  <pageMargins left="0.17" right="0.23" top="0.5" bottom="0.28999999999999998" header="0.25" footer="0.06"/>
  <pageSetup scale="70" fitToWidth="3" fitToHeight="8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1C15-3761-46BD-9656-FDCD5707E741}">
  <sheetPr>
    <tabColor rgb="FF00B050"/>
  </sheetPr>
  <dimension ref="A1:N66"/>
  <sheetViews>
    <sheetView workbookViewId="0">
      <selection activeCell="C21" sqref="C21"/>
    </sheetView>
  </sheetViews>
  <sheetFormatPr defaultRowHeight="12.75" x14ac:dyDescent="0.2"/>
  <cols>
    <col min="1" max="1" width="20.7109375" style="246" customWidth="1"/>
    <col min="2" max="2" width="14.140625" style="123" bestFit="1" customWidth="1"/>
    <col min="3" max="3" width="13.140625" style="246" bestFit="1" customWidth="1"/>
    <col min="4" max="5" width="10.42578125" style="246" bestFit="1" customWidth="1"/>
    <col min="6" max="7" width="9.140625" style="246"/>
    <col min="8" max="8" width="10.28515625" style="246" bestFit="1" customWidth="1"/>
    <col min="9" max="9" width="9.28515625" style="246" bestFit="1" customWidth="1"/>
    <col min="10" max="10" width="10.28515625" style="246" bestFit="1" customWidth="1"/>
    <col min="11" max="11" width="9.28515625" style="246" bestFit="1" customWidth="1"/>
    <col min="12" max="12" width="9.140625" style="246"/>
    <col min="13" max="13" width="10.7109375" style="246" customWidth="1"/>
    <col min="14" max="14" width="10.5703125" style="246" customWidth="1"/>
    <col min="15" max="15" width="3" style="246" customWidth="1"/>
    <col min="16" max="16" width="10.7109375" style="246" customWidth="1"/>
    <col min="17" max="18" width="11.85546875" style="246" bestFit="1" customWidth="1"/>
    <col min="19" max="19" width="11.28515625" style="246" bestFit="1" customWidth="1"/>
    <col min="20" max="16384" width="9.140625" style="246"/>
  </cols>
  <sheetData>
    <row r="1" spans="1:14" x14ac:dyDescent="0.2">
      <c r="A1" s="249" t="s">
        <v>494</v>
      </c>
    </row>
    <row r="2" spans="1:14" x14ac:dyDescent="0.2">
      <c r="A2" s="246" t="s">
        <v>148</v>
      </c>
    </row>
    <row r="3" spans="1:14" x14ac:dyDescent="0.2">
      <c r="A3" s="246" t="s">
        <v>256</v>
      </c>
    </row>
    <row r="6" spans="1:14" s="247" customFormat="1" ht="12" x14ac:dyDescent="0.2">
      <c r="B6" s="127"/>
    </row>
    <row r="7" spans="1:14" x14ac:dyDescent="0.2">
      <c r="B7" s="124"/>
      <c r="C7" s="124"/>
      <c r="D7" s="124"/>
      <c r="I7" s="294"/>
      <c r="J7" s="294"/>
      <c r="K7" s="294"/>
      <c r="L7" s="294"/>
    </row>
    <row r="8" spans="1:14" x14ac:dyDescent="0.2">
      <c r="A8" s="249" t="s">
        <v>181</v>
      </c>
      <c r="B8" s="124"/>
      <c r="C8" s="279" t="s">
        <v>497</v>
      </c>
      <c r="D8" s="279" t="s">
        <v>498</v>
      </c>
      <c r="E8" s="279" t="s">
        <v>499</v>
      </c>
      <c r="F8" s="279" t="s">
        <v>500</v>
      </c>
      <c r="G8" s="279" t="s">
        <v>501</v>
      </c>
      <c r="H8" s="279" t="s">
        <v>502</v>
      </c>
      <c r="I8" s="279" t="s">
        <v>503</v>
      </c>
      <c r="J8" s="279" t="s">
        <v>504</v>
      </c>
      <c r="K8" s="279" t="s">
        <v>505</v>
      </c>
      <c r="L8" s="279" t="s">
        <v>506</v>
      </c>
      <c r="M8" s="279" t="s">
        <v>507</v>
      </c>
      <c r="N8" s="279" t="s">
        <v>508</v>
      </c>
    </row>
    <row r="9" spans="1:14" x14ac:dyDescent="0.2">
      <c r="A9" s="246" t="s">
        <v>509</v>
      </c>
      <c r="B9" s="124"/>
      <c r="C9" s="123">
        <f>Headcount!I143</f>
        <v>227925.66666666666</v>
      </c>
      <c r="D9" s="123">
        <f>Headcount!J143</f>
        <v>232083.33333333334</v>
      </c>
      <c r="E9" s="123">
        <f>Headcount!K143</f>
        <v>265416.66666666669</v>
      </c>
      <c r="F9" s="123">
        <f>Headcount!L143</f>
        <v>298750</v>
      </c>
      <c r="G9" s="123">
        <f>Headcount!M143</f>
        <v>332916.66666666669</v>
      </c>
      <c r="H9" s="123">
        <f>Headcount!N143</f>
        <v>456250</v>
      </c>
      <c r="I9" s="123">
        <f>Headcount!O143</f>
        <v>480416.66666666663</v>
      </c>
      <c r="J9" s="123">
        <f>Headcount!P143</f>
        <v>513750</v>
      </c>
      <c r="K9" s="123">
        <f>Headcount!Q143</f>
        <v>537916.66666666663</v>
      </c>
      <c r="L9" s="123">
        <f>Headcount!R143</f>
        <v>577083.33333333326</v>
      </c>
      <c r="M9" s="123">
        <f>Headcount!S143</f>
        <v>577083.33333333326</v>
      </c>
      <c r="N9" s="123">
        <f>Headcount!T143</f>
        <v>577083.33333333326</v>
      </c>
    </row>
    <row r="10" spans="1:14" x14ac:dyDescent="0.2">
      <c r="A10" s="246" t="s">
        <v>510</v>
      </c>
      <c r="B10" s="124"/>
      <c r="C10" s="123">
        <f>Headcount!I243</f>
        <v>47916.666666666672</v>
      </c>
      <c r="D10" s="123">
        <f>Headcount!J243</f>
        <v>47916.666666666672</v>
      </c>
      <c r="E10" s="123">
        <f>Headcount!K243</f>
        <v>47916.666666666672</v>
      </c>
      <c r="F10" s="123">
        <f>Headcount!L243</f>
        <v>47916.666666666672</v>
      </c>
      <c r="G10" s="123">
        <f>Headcount!M243</f>
        <v>47916.666666666672</v>
      </c>
      <c r="H10" s="123">
        <f>Headcount!N243</f>
        <v>52083.333333333336</v>
      </c>
      <c r="I10" s="123">
        <f>Headcount!O243</f>
        <v>52083.333333333336</v>
      </c>
      <c r="J10" s="123">
        <f>Headcount!P243</f>
        <v>52083.333333333336</v>
      </c>
      <c r="K10" s="123">
        <f>Headcount!Q243</f>
        <v>52083.333333333336</v>
      </c>
      <c r="L10" s="123">
        <f>Headcount!R243</f>
        <v>52083.333333333336</v>
      </c>
      <c r="M10" s="123">
        <f>Headcount!S243</f>
        <v>52083.333333333336</v>
      </c>
      <c r="N10" s="123">
        <f>Headcount!T243</f>
        <v>52083.333333333336</v>
      </c>
    </row>
    <row r="11" spans="1:14" x14ac:dyDescent="0.2">
      <c r="A11" s="246" t="s">
        <v>512</v>
      </c>
      <c r="B11" s="124"/>
      <c r="C11" s="123">
        <f>Headcount!I332</f>
        <v>452500</v>
      </c>
      <c r="D11" s="123">
        <f>Headcount!J332</f>
        <v>452500</v>
      </c>
      <c r="E11" s="123">
        <f>Headcount!K332</f>
        <v>452500</v>
      </c>
      <c r="F11" s="123">
        <f>Headcount!L332</f>
        <v>452500</v>
      </c>
      <c r="G11" s="123">
        <f>Headcount!M332</f>
        <v>452500</v>
      </c>
      <c r="H11" s="123">
        <f>Headcount!N332</f>
        <v>512500</v>
      </c>
      <c r="I11" s="123">
        <f>Headcount!O332</f>
        <v>512500</v>
      </c>
      <c r="J11" s="123">
        <f>Headcount!P332</f>
        <v>512500</v>
      </c>
      <c r="K11" s="123">
        <f>Headcount!Q332</f>
        <v>529166.66666666663</v>
      </c>
      <c r="L11" s="123">
        <f>Headcount!R332</f>
        <v>534166.66666666663</v>
      </c>
      <c r="M11" s="123">
        <f>Headcount!S332</f>
        <v>534166.66666666663</v>
      </c>
      <c r="N11" s="123">
        <f>Headcount!T332</f>
        <v>566666.66666666663</v>
      </c>
    </row>
    <row r="12" spans="1:14" x14ac:dyDescent="0.2">
      <c r="A12" s="246" t="s">
        <v>511</v>
      </c>
      <c r="B12" s="124"/>
      <c r="C12" s="124"/>
      <c r="D12" s="124"/>
      <c r="I12" s="248"/>
      <c r="J12" s="248"/>
      <c r="K12" s="248"/>
      <c r="L12" s="248"/>
    </row>
    <row r="13" spans="1:14" x14ac:dyDescent="0.2">
      <c r="A13" s="246" t="s">
        <v>522</v>
      </c>
      <c r="B13" s="124"/>
      <c r="C13" s="124">
        <v>1</v>
      </c>
      <c r="D13" s="124">
        <v>1</v>
      </c>
      <c r="E13" s="124">
        <v>1</v>
      </c>
      <c r="F13" s="124">
        <v>1</v>
      </c>
      <c r="G13" s="124">
        <v>1</v>
      </c>
      <c r="H13" s="124">
        <v>1</v>
      </c>
      <c r="I13" s="124">
        <v>1</v>
      </c>
      <c r="J13" s="124">
        <v>1</v>
      </c>
      <c r="K13" s="124">
        <v>1</v>
      </c>
      <c r="L13" s="124">
        <v>1</v>
      </c>
      <c r="M13" s="124">
        <v>1</v>
      </c>
      <c r="N13" s="124">
        <v>1</v>
      </c>
    </row>
    <row r="14" spans="1:14" x14ac:dyDescent="0.2">
      <c r="A14" s="246" t="s">
        <v>523</v>
      </c>
      <c r="B14" s="124"/>
      <c r="C14" s="124">
        <v>0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</row>
    <row r="15" spans="1:14" x14ac:dyDescent="0.2">
      <c r="B15" s="124"/>
      <c r="C15" s="124"/>
      <c r="D15" s="124"/>
      <c r="I15" s="248"/>
      <c r="J15" s="248"/>
      <c r="K15" s="248"/>
      <c r="L15" s="248"/>
    </row>
    <row r="16" spans="1:14" x14ac:dyDescent="0.2">
      <c r="D16" s="295" t="s">
        <v>257</v>
      </c>
      <c r="E16" s="295"/>
      <c r="F16" s="295"/>
      <c r="G16" s="295"/>
    </row>
    <row r="17" spans="1:12" x14ac:dyDescent="0.2">
      <c r="B17" s="135"/>
      <c r="D17" s="250" t="s">
        <v>163</v>
      </c>
      <c r="E17" s="250" t="s">
        <v>164</v>
      </c>
      <c r="F17" s="250" t="s">
        <v>165</v>
      </c>
      <c r="G17" s="250" t="s">
        <v>166</v>
      </c>
      <c r="I17" s="296" t="s">
        <v>472</v>
      </c>
      <c r="J17" s="296"/>
      <c r="K17" s="296"/>
      <c r="L17" s="296"/>
    </row>
    <row r="18" spans="1:12" x14ac:dyDescent="0.2">
      <c r="A18" s="246" t="s">
        <v>191</v>
      </c>
      <c r="B18" s="135"/>
      <c r="D18" s="251">
        <v>0.03</v>
      </c>
      <c r="E18" s="251">
        <v>0.03</v>
      </c>
      <c r="F18" s="251">
        <v>0.03</v>
      </c>
      <c r="G18" s="251">
        <v>0.03</v>
      </c>
      <c r="I18" s="296"/>
      <c r="J18" s="296"/>
      <c r="K18" s="296"/>
      <c r="L18" s="296"/>
    </row>
    <row r="19" spans="1:12" x14ac:dyDescent="0.2">
      <c r="A19" s="246" t="s">
        <v>192</v>
      </c>
      <c r="B19" s="135"/>
      <c r="D19" s="251">
        <v>0.03</v>
      </c>
      <c r="E19" s="251">
        <v>0.03</v>
      </c>
      <c r="F19" s="251">
        <v>0.03</v>
      </c>
      <c r="G19" s="251">
        <v>0.03</v>
      </c>
    </row>
    <row r="20" spans="1:12" x14ac:dyDescent="0.2">
      <c r="A20" s="249"/>
      <c r="B20" s="135"/>
      <c r="D20" s="250"/>
      <c r="E20" s="250"/>
      <c r="F20" s="250"/>
      <c r="G20" s="250"/>
    </row>
    <row r="21" spans="1:12" x14ac:dyDescent="0.2">
      <c r="A21" s="249" t="s">
        <v>93</v>
      </c>
      <c r="B21" s="135"/>
    </row>
    <row r="22" spans="1:12" x14ac:dyDescent="0.2">
      <c r="A22" s="246" t="s">
        <v>191</v>
      </c>
      <c r="B22" s="143">
        <v>0.03</v>
      </c>
      <c r="D22" s="251"/>
      <c r="E22" s="251"/>
      <c r="F22" s="251"/>
      <c r="G22" s="251"/>
    </row>
    <row r="23" spans="1:12" x14ac:dyDescent="0.2">
      <c r="A23" s="246" t="s">
        <v>192</v>
      </c>
      <c r="B23" s="143">
        <v>0.01</v>
      </c>
      <c r="D23" s="251"/>
      <c r="E23" s="251"/>
      <c r="F23" s="251"/>
      <c r="G23" s="251"/>
    </row>
    <row r="24" spans="1:12" x14ac:dyDescent="0.2">
      <c r="B24" s="135"/>
    </row>
    <row r="25" spans="1:12" x14ac:dyDescent="0.2">
      <c r="A25" s="249" t="s">
        <v>94</v>
      </c>
    </row>
    <row r="26" spans="1:12" x14ac:dyDescent="0.2">
      <c r="A26" s="246" t="s">
        <v>183</v>
      </c>
      <c r="B26" s="136">
        <v>7.6499999999999999E-2</v>
      </c>
      <c r="D26" s="246" t="s">
        <v>258</v>
      </c>
    </row>
    <row r="27" spans="1:12" x14ac:dyDescent="0.2">
      <c r="A27" s="246" t="s">
        <v>184</v>
      </c>
      <c r="B27" s="136">
        <v>1E-4</v>
      </c>
    </row>
    <row r="28" spans="1:12" ht="13.5" thickBot="1" x14ac:dyDescent="0.25">
      <c r="B28" s="140">
        <f>SUM(B26:B27)</f>
        <v>7.6600000000000001E-2</v>
      </c>
    </row>
    <row r="29" spans="1:12" ht="13.5" thickTop="1" x14ac:dyDescent="0.2">
      <c r="B29" s="154"/>
    </row>
    <row r="30" spans="1:12" x14ac:dyDescent="0.2">
      <c r="A30" s="249" t="s">
        <v>282</v>
      </c>
      <c r="B30" s="154">
        <v>0.15</v>
      </c>
      <c r="C30" s="246" t="s">
        <v>283</v>
      </c>
    </row>
    <row r="32" spans="1:12" x14ac:dyDescent="0.2">
      <c r="A32" s="249" t="s">
        <v>95</v>
      </c>
      <c r="I32" s="297" t="s">
        <v>459</v>
      </c>
      <c r="J32" s="297"/>
      <c r="K32" s="297"/>
      <c r="L32" s="297"/>
    </row>
    <row r="33" spans="1:12" x14ac:dyDescent="0.2">
      <c r="A33" s="246" t="s">
        <v>185</v>
      </c>
      <c r="B33" s="123">
        <v>3000</v>
      </c>
      <c r="C33" s="246" t="s">
        <v>186</v>
      </c>
      <c r="I33" s="297"/>
      <c r="J33" s="297"/>
      <c r="K33" s="297"/>
      <c r="L33" s="297"/>
    </row>
    <row r="34" spans="1:12" x14ac:dyDescent="0.2">
      <c r="A34" s="246" t="s">
        <v>187</v>
      </c>
      <c r="B34" s="124">
        <v>0.25</v>
      </c>
    </row>
    <row r="35" spans="1:12" x14ac:dyDescent="0.2">
      <c r="B35" s="123">
        <f>B33*B34</f>
        <v>750</v>
      </c>
    </row>
    <row r="36" spans="1:12" ht="13.5" thickBot="1" x14ac:dyDescent="0.25">
      <c r="A36" s="246" t="s">
        <v>188</v>
      </c>
      <c r="B36" s="139">
        <f>B33-B35</f>
        <v>2250</v>
      </c>
      <c r="D36" s="124">
        <v>0.08</v>
      </c>
      <c r="E36" s="124">
        <v>0.08</v>
      </c>
      <c r="F36" s="124">
        <v>0.08</v>
      </c>
      <c r="G36" s="124">
        <v>0.08</v>
      </c>
    </row>
    <row r="37" spans="1:12" ht="13.5" thickTop="1" x14ac:dyDescent="0.2">
      <c r="A37" s="246" t="s">
        <v>190</v>
      </c>
    </row>
    <row r="38" spans="1:12" x14ac:dyDescent="0.2">
      <c r="A38" s="246" t="s">
        <v>193</v>
      </c>
      <c r="B38" s="142">
        <v>0.7</v>
      </c>
    </row>
    <row r="39" spans="1:12" x14ac:dyDescent="0.2">
      <c r="A39" s="246" t="s">
        <v>194</v>
      </c>
      <c r="B39" s="142">
        <v>0.8</v>
      </c>
    </row>
    <row r="40" spans="1:12" x14ac:dyDescent="0.2">
      <c r="A40" s="246" t="s">
        <v>189</v>
      </c>
      <c r="B40" s="124">
        <v>0.08</v>
      </c>
    </row>
    <row r="42" spans="1:12" x14ac:dyDescent="0.2">
      <c r="A42" s="249" t="s">
        <v>96</v>
      </c>
      <c r="B42" s="124">
        <v>0.04</v>
      </c>
      <c r="D42" s="298" t="s">
        <v>258</v>
      </c>
      <c r="E42" s="298"/>
      <c r="F42" s="298"/>
      <c r="G42" s="298"/>
      <c r="I42" s="252" t="s">
        <v>460</v>
      </c>
    </row>
    <row r="43" spans="1:12" x14ac:dyDescent="0.2">
      <c r="B43" s="124"/>
    </row>
    <row r="44" spans="1:12" x14ac:dyDescent="0.2">
      <c r="A44" s="249" t="s">
        <v>198</v>
      </c>
      <c r="B44" s="124"/>
    </row>
    <row r="45" spans="1:12" x14ac:dyDescent="0.2">
      <c r="A45" s="246" t="s">
        <v>199</v>
      </c>
      <c r="B45" s="146" t="s">
        <v>197</v>
      </c>
      <c r="C45" s="250"/>
      <c r="I45" s="252" t="s">
        <v>463</v>
      </c>
    </row>
    <row r="46" spans="1:12" x14ac:dyDescent="0.2">
      <c r="A46" s="253" t="s">
        <v>200</v>
      </c>
      <c r="B46" s="138">
        <v>2.98</v>
      </c>
      <c r="C46" s="123"/>
      <c r="D46" s="124">
        <v>0.05</v>
      </c>
      <c r="E46" s="124">
        <v>0.05</v>
      </c>
      <c r="F46" s="124">
        <v>0.05</v>
      </c>
      <c r="G46" s="124">
        <v>0.05</v>
      </c>
    </row>
    <row r="47" spans="1:12" x14ac:dyDescent="0.2">
      <c r="A47" s="253" t="s">
        <v>201</v>
      </c>
      <c r="B47" s="138">
        <v>0.15</v>
      </c>
      <c r="C47" s="123"/>
      <c r="D47" s="124">
        <v>0.05</v>
      </c>
      <c r="E47" s="124">
        <v>0.05</v>
      </c>
      <c r="F47" s="124">
        <v>0.05</v>
      </c>
      <c r="G47" s="124">
        <v>0.05</v>
      </c>
    </row>
    <row r="48" spans="1:12" x14ac:dyDescent="0.2">
      <c r="A48" s="253" t="s">
        <v>202</v>
      </c>
      <c r="B48" s="138">
        <v>0.11</v>
      </c>
      <c r="C48" s="123"/>
      <c r="D48" s="124">
        <v>0.05</v>
      </c>
      <c r="E48" s="124">
        <v>0.05</v>
      </c>
      <c r="F48" s="124">
        <v>0.05</v>
      </c>
      <c r="G48" s="124">
        <v>0.05</v>
      </c>
    </row>
    <row r="49" spans="1:9" x14ac:dyDescent="0.2">
      <c r="A49" s="253" t="s">
        <v>203</v>
      </c>
      <c r="B49" s="138">
        <v>3</v>
      </c>
      <c r="C49" s="123"/>
      <c r="D49" s="124">
        <v>0.05</v>
      </c>
      <c r="E49" s="124">
        <v>0.05</v>
      </c>
      <c r="F49" s="124">
        <v>0.05</v>
      </c>
      <c r="G49" s="124">
        <v>0.05</v>
      </c>
    </row>
    <row r="51" spans="1:9" x14ac:dyDescent="0.2">
      <c r="A51" s="249" t="s">
        <v>208</v>
      </c>
      <c r="B51" s="146" t="s">
        <v>213</v>
      </c>
    </row>
    <row r="52" spans="1:9" x14ac:dyDescent="0.2">
      <c r="A52" s="246" t="s">
        <v>209</v>
      </c>
      <c r="B52" s="123">
        <v>0</v>
      </c>
      <c r="D52" s="124">
        <v>0.05</v>
      </c>
      <c r="E52" s="124">
        <v>0.05</v>
      </c>
      <c r="F52" s="124">
        <v>0.05</v>
      </c>
      <c r="G52" s="124">
        <v>0.05</v>
      </c>
      <c r="I52" s="252"/>
    </row>
    <row r="53" spans="1:9" x14ac:dyDescent="0.2">
      <c r="A53" s="246" t="s">
        <v>210</v>
      </c>
      <c r="B53" s="123">
        <v>2000</v>
      </c>
      <c r="D53" s="124">
        <v>0.05</v>
      </c>
      <c r="E53" s="124">
        <v>0.05</v>
      </c>
      <c r="F53" s="124">
        <v>0.05</v>
      </c>
      <c r="G53" s="124">
        <v>0.05</v>
      </c>
      <c r="I53" s="252" t="s">
        <v>465</v>
      </c>
    </row>
    <row r="54" spans="1:9" x14ac:dyDescent="0.2">
      <c r="A54" s="246" t="s">
        <v>211</v>
      </c>
      <c r="B54" s="123">
        <v>0</v>
      </c>
      <c r="D54" s="124">
        <v>0.05</v>
      </c>
      <c r="E54" s="124">
        <v>0.05</v>
      </c>
      <c r="F54" s="124">
        <v>0.05</v>
      </c>
      <c r="G54" s="124">
        <v>0.05</v>
      </c>
      <c r="I54" s="252"/>
    </row>
    <row r="55" spans="1:9" x14ac:dyDescent="0.2">
      <c r="A55" s="246" t="s">
        <v>212</v>
      </c>
      <c r="B55" s="123">
        <v>0</v>
      </c>
      <c r="D55" s="124">
        <v>0.05</v>
      </c>
      <c r="E55" s="124">
        <v>0.05</v>
      </c>
      <c r="F55" s="124">
        <v>0.05</v>
      </c>
      <c r="G55" s="124">
        <v>0.05</v>
      </c>
      <c r="I55" s="252"/>
    </row>
    <row r="56" spans="1:9" x14ac:dyDescent="0.2">
      <c r="D56" s="124"/>
      <c r="E56" s="124"/>
      <c r="F56" s="124"/>
      <c r="G56" s="124"/>
    </row>
    <row r="57" spans="1:9" x14ac:dyDescent="0.2">
      <c r="A57" s="249" t="s">
        <v>238</v>
      </c>
      <c r="B57" s="146" t="s">
        <v>213</v>
      </c>
    </row>
    <row r="58" spans="1:9" x14ac:dyDescent="0.2">
      <c r="A58" s="246" t="s">
        <v>239</v>
      </c>
      <c r="B58" s="123">
        <v>0</v>
      </c>
      <c r="D58" s="124">
        <v>0.03</v>
      </c>
      <c r="E58" s="124">
        <v>0.03</v>
      </c>
      <c r="F58" s="124">
        <v>0.03</v>
      </c>
      <c r="G58" s="124">
        <v>0.03</v>
      </c>
      <c r="I58" s="252"/>
    </row>
    <row r="59" spans="1:9" x14ac:dyDescent="0.2">
      <c r="A59" s="246" t="s">
        <v>237</v>
      </c>
      <c r="B59" s="123">
        <v>0</v>
      </c>
      <c r="D59" s="124">
        <v>0.03</v>
      </c>
      <c r="E59" s="124">
        <v>0.03</v>
      </c>
      <c r="F59" s="124">
        <v>0.03</v>
      </c>
      <c r="G59" s="124">
        <v>0.03</v>
      </c>
      <c r="I59" s="252"/>
    </row>
    <row r="60" spans="1:9" x14ac:dyDescent="0.2">
      <c r="A60" s="246" t="s">
        <v>240</v>
      </c>
      <c r="B60" s="123">
        <v>0</v>
      </c>
      <c r="D60" s="124">
        <v>0.03</v>
      </c>
      <c r="E60" s="124">
        <v>0.03</v>
      </c>
      <c r="F60" s="124">
        <v>0.03</v>
      </c>
      <c r="G60" s="124">
        <v>0.03</v>
      </c>
      <c r="I60" s="252"/>
    </row>
    <row r="61" spans="1:9" x14ac:dyDescent="0.2">
      <c r="A61" s="246" t="s">
        <v>243</v>
      </c>
      <c r="B61" s="123">
        <v>500</v>
      </c>
      <c r="D61" s="124">
        <v>0.03</v>
      </c>
      <c r="E61" s="124">
        <v>0.03</v>
      </c>
      <c r="F61" s="124">
        <v>0.03</v>
      </c>
      <c r="G61" s="124">
        <v>0.03</v>
      </c>
      <c r="I61" s="252" t="s">
        <v>468</v>
      </c>
    </row>
    <row r="62" spans="1:9" x14ac:dyDescent="0.2">
      <c r="A62" s="246" t="s">
        <v>244</v>
      </c>
      <c r="B62" s="123">
        <v>0</v>
      </c>
      <c r="D62" s="124">
        <v>0.03</v>
      </c>
      <c r="E62" s="124">
        <v>0.03</v>
      </c>
      <c r="F62" s="124">
        <v>0.03</v>
      </c>
      <c r="G62" s="124">
        <v>0.03</v>
      </c>
      <c r="I62" s="252"/>
    </row>
    <row r="63" spans="1:9" x14ac:dyDescent="0.2">
      <c r="A63" s="246" t="s">
        <v>248</v>
      </c>
      <c r="B63" s="123">
        <v>100</v>
      </c>
      <c r="D63" s="124">
        <v>0.03</v>
      </c>
      <c r="E63" s="124">
        <v>0.03</v>
      </c>
      <c r="F63" s="124">
        <v>0.03</v>
      </c>
      <c r="G63" s="124">
        <v>0.03</v>
      </c>
      <c r="I63" s="252" t="s">
        <v>461</v>
      </c>
    </row>
    <row r="64" spans="1:9" x14ac:dyDescent="0.2">
      <c r="A64" s="246" t="s">
        <v>415</v>
      </c>
      <c r="B64" s="124">
        <v>0.1</v>
      </c>
      <c r="C64" s="246" t="s">
        <v>423</v>
      </c>
      <c r="D64" s="124">
        <v>0</v>
      </c>
      <c r="E64" s="124">
        <v>0</v>
      </c>
      <c r="F64" s="124">
        <v>0</v>
      </c>
      <c r="G64" s="124">
        <v>0</v>
      </c>
      <c r="I64" s="252" t="s">
        <v>469</v>
      </c>
    </row>
    <row r="65" spans="1:9" x14ac:dyDescent="0.2">
      <c r="A65" s="246" t="s">
        <v>242</v>
      </c>
      <c r="B65" s="123">
        <v>1000</v>
      </c>
      <c r="D65" s="124">
        <v>0.03</v>
      </c>
      <c r="E65" s="124">
        <v>0.03</v>
      </c>
      <c r="F65" s="124">
        <v>0.03</v>
      </c>
      <c r="G65" s="124">
        <v>0.03</v>
      </c>
      <c r="I65" s="252" t="s">
        <v>461</v>
      </c>
    </row>
    <row r="66" spans="1:9" x14ac:dyDescent="0.2">
      <c r="D66" s="124"/>
      <c r="E66" s="124"/>
      <c r="F66" s="124"/>
      <c r="G66" s="124"/>
    </row>
  </sheetData>
  <mergeCells count="5">
    <mergeCell ref="I7:L7"/>
    <mergeCell ref="D16:G16"/>
    <mergeCell ref="I17:L18"/>
    <mergeCell ref="I32:L33"/>
    <mergeCell ref="D42:G42"/>
  </mergeCells>
  <phoneticPr fontId="6" type="noConversion"/>
  <printOptions headings="1"/>
  <pageMargins left="0.31" right="0.3" top="0.5" bottom="0.28999999999999998" header="0.25" footer="0.06"/>
  <pageSetup scale="85" orientation="landscape" horizontalDpi="1200" verticalDpi="1200" r:id="rId1"/>
  <headerFooter alignWithMargins="0">
    <oddHeader>&amp;R&amp;8&amp;D&amp;T</oddHeader>
    <oddFooter>&amp;L&amp;D&amp;T&amp;RPage &amp;P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A137-BEAF-41C8-9CA9-6995F247B68A}">
  <sheetPr>
    <tabColor rgb="FF00B050"/>
  </sheetPr>
  <dimension ref="A1:W342"/>
  <sheetViews>
    <sheetView workbookViewId="0">
      <pane ySplit="5" topLeftCell="A6" activePane="bottomLeft" state="frozen"/>
      <selection pane="bottomLeft" activeCell="B7" sqref="B7"/>
    </sheetView>
  </sheetViews>
  <sheetFormatPr defaultColWidth="9.140625" defaultRowHeight="12" outlineLevelRow="2" outlineLevelCol="1" x14ac:dyDescent="0.2"/>
  <cols>
    <col min="1" max="1" width="9.140625" style="231"/>
    <col min="2" max="2" width="24.42578125" style="231" customWidth="1"/>
    <col min="3" max="5" width="9.85546875" style="231" customWidth="1" outlineLevel="1"/>
    <col min="6" max="6" width="9.85546875" style="231" bestFit="1" customWidth="1" outlineLevel="1"/>
    <col min="7" max="7" width="9.5703125" style="231" customWidth="1" outlineLevel="1"/>
    <col min="8" max="8" width="9.7109375" style="114" customWidth="1" outlineLevel="1"/>
    <col min="9" max="15" width="8" style="100" bestFit="1" customWidth="1" outlineLevel="1"/>
    <col min="16" max="20" width="9.28515625" style="100" bestFit="1" customWidth="1" outlineLevel="1"/>
    <col min="21" max="21" width="10.140625" style="100" bestFit="1" customWidth="1"/>
    <col min="22" max="16384" width="9.140625" style="231"/>
  </cols>
  <sheetData>
    <row r="1" spans="1:23" ht="15.75" x14ac:dyDescent="0.25">
      <c r="A1" s="224" t="str">
        <f>'CIL Mgmt P&amp;L'!A1</f>
        <v>CIL MANAGEMENT GROUP</v>
      </c>
      <c r="C1" s="254"/>
      <c r="I1" s="134"/>
    </row>
    <row r="2" spans="1:23" ht="15.75" x14ac:dyDescent="0.25">
      <c r="A2" s="224" t="s">
        <v>149</v>
      </c>
      <c r="C2" s="254"/>
    </row>
    <row r="3" spans="1:23" ht="12.75" x14ac:dyDescent="0.2">
      <c r="A3" s="223" t="s">
        <v>33</v>
      </c>
    </row>
    <row r="5" spans="1:23" s="234" customFormat="1" x14ac:dyDescent="0.2">
      <c r="H5" s="101" t="s">
        <v>46</v>
      </c>
      <c r="I5" s="113">
        <v>1</v>
      </c>
      <c r="J5" s="113">
        <v>2</v>
      </c>
      <c r="K5" s="113">
        <v>3</v>
      </c>
      <c r="L5" s="113">
        <v>4</v>
      </c>
      <c r="M5" s="113">
        <v>5</v>
      </c>
      <c r="N5" s="113">
        <v>6</v>
      </c>
      <c r="O5" s="113">
        <v>7</v>
      </c>
      <c r="P5" s="113">
        <v>8</v>
      </c>
      <c r="Q5" s="113">
        <v>9</v>
      </c>
      <c r="R5" s="113">
        <v>10</v>
      </c>
      <c r="S5" s="113">
        <v>11</v>
      </c>
      <c r="T5" s="113">
        <v>12</v>
      </c>
      <c r="U5" s="101" t="s">
        <v>125</v>
      </c>
      <c r="V5" s="113"/>
      <c r="W5" s="113"/>
    </row>
    <row r="6" spans="1:23" ht="21.75" customHeight="1" x14ac:dyDescent="0.3">
      <c r="B6" s="255" t="s">
        <v>529</v>
      </c>
      <c r="C6" s="254"/>
      <c r="D6" s="254"/>
      <c r="E6" s="254"/>
      <c r="F6" s="254"/>
      <c r="G6" s="254"/>
    </row>
    <row r="7" spans="1:23" outlineLevel="2" x14ac:dyDescent="0.2">
      <c r="B7" s="254" t="s">
        <v>126</v>
      </c>
      <c r="C7" s="299" t="s">
        <v>34</v>
      </c>
      <c r="D7" s="299"/>
      <c r="E7" s="299" t="s">
        <v>35</v>
      </c>
      <c r="F7" s="299"/>
      <c r="G7" s="256"/>
    </row>
    <row r="8" spans="1:23" outlineLevel="2" x14ac:dyDescent="0.2">
      <c r="B8" s="257" t="s">
        <v>37</v>
      </c>
      <c r="C8" s="258" t="s">
        <v>38</v>
      </c>
      <c r="D8" s="259" t="s">
        <v>39</v>
      </c>
      <c r="E8" s="257" t="s">
        <v>40</v>
      </c>
      <c r="F8" s="260" t="s">
        <v>41</v>
      </c>
      <c r="G8" s="261" t="s">
        <v>178</v>
      </c>
      <c r="H8" s="102" t="s">
        <v>13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02"/>
    </row>
    <row r="9" spans="1:23" outlineLevel="2" x14ac:dyDescent="0.2">
      <c r="A9" s="231" t="s">
        <v>495</v>
      </c>
      <c r="B9" s="262" t="s">
        <v>127</v>
      </c>
      <c r="C9" s="262">
        <v>1</v>
      </c>
      <c r="D9" s="262"/>
      <c r="E9" s="262"/>
      <c r="F9" s="263"/>
      <c r="G9" s="262">
        <v>8810</v>
      </c>
      <c r="H9" s="116">
        <v>165000</v>
      </c>
      <c r="I9" s="100">
        <f>IF(I$5&gt;=$C9,$H9/12,0)</f>
        <v>13750</v>
      </c>
      <c r="J9" s="100">
        <f t="shared" ref="J9:T24" si="0">IF(J$5&gt;=$C9,$H9/12,0)</f>
        <v>13750</v>
      </c>
      <c r="K9" s="100">
        <f t="shared" si="0"/>
        <v>13750</v>
      </c>
      <c r="L9" s="100">
        <f t="shared" si="0"/>
        <v>13750</v>
      </c>
      <c r="M9" s="100">
        <f t="shared" si="0"/>
        <v>13750</v>
      </c>
      <c r="N9" s="100">
        <f t="shared" si="0"/>
        <v>13750</v>
      </c>
      <c r="O9" s="100">
        <f t="shared" si="0"/>
        <v>13750</v>
      </c>
      <c r="P9" s="100">
        <f t="shared" si="0"/>
        <v>13750</v>
      </c>
      <c r="Q9" s="100">
        <f t="shared" si="0"/>
        <v>13750</v>
      </c>
      <c r="R9" s="100">
        <f t="shared" si="0"/>
        <v>13750</v>
      </c>
      <c r="S9" s="100">
        <f t="shared" si="0"/>
        <v>13750</v>
      </c>
      <c r="T9" s="100">
        <f t="shared" si="0"/>
        <v>13750</v>
      </c>
      <c r="U9" s="100">
        <f>SUM(I9:T9)</f>
        <v>165000</v>
      </c>
    </row>
    <row r="10" spans="1:23" outlineLevel="2" x14ac:dyDescent="0.2">
      <c r="A10" s="231" t="s">
        <v>495</v>
      </c>
      <c r="B10" s="262" t="s">
        <v>168</v>
      </c>
      <c r="C10" s="262">
        <v>1</v>
      </c>
      <c r="D10" s="262"/>
      <c r="E10" s="262"/>
      <c r="F10" s="263"/>
      <c r="G10" s="262">
        <v>8810</v>
      </c>
      <c r="H10" s="116">
        <v>120000</v>
      </c>
      <c r="I10" s="100">
        <f t="shared" ref="I10:T34" si="1">IF(I$5&gt;=$C10,$H10/12,0)</f>
        <v>10000</v>
      </c>
      <c r="J10" s="100">
        <f t="shared" si="0"/>
        <v>10000</v>
      </c>
      <c r="K10" s="100">
        <f t="shared" si="0"/>
        <v>10000</v>
      </c>
      <c r="L10" s="100">
        <f t="shared" si="0"/>
        <v>10000</v>
      </c>
      <c r="M10" s="100">
        <f t="shared" si="0"/>
        <v>10000</v>
      </c>
      <c r="N10" s="100">
        <f t="shared" si="0"/>
        <v>10000</v>
      </c>
      <c r="O10" s="100">
        <f t="shared" si="0"/>
        <v>10000</v>
      </c>
      <c r="P10" s="100">
        <f t="shared" si="0"/>
        <v>10000</v>
      </c>
      <c r="Q10" s="100">
        <f t="shared" si="0"/>
        <v>10000</v>
      </c>
      <c r="R10" s="100">
        <f t="shared" si="0"/>
        <v>10000</v>
      </c>
      <c r="S10" s="100">
        <f t="shared" si="0"/>
        <v>10000</v>
      </c>
      <c r="T10" s="100">
        <f t="shared" si="0"/>
        <v>10000</v>
      </c>
      <c r="U10" s="100">
        <f>SUM(I10:T10)</f>
        <v>120000</v>
      </c>
    </row>
    <row r="11" spans="1:23" outlineLevel="2" x14ac:dyDescent="0.2">
      <c r="A11" s="231" t="s">
        <v>495</v>
      </c>
      <c r="B11" s="262" t="s">
        <v>168</v>
      </c>
      <c r="C11" s="262">
        <v>5</v>
      </c>
      <c r="D11" s="262"/>
      <c r="E11" s="262"/>
      <c r="F11" s="263"/>
      <c r="G11" s="262">
        <v>8810</v>
      </c>
      <c r="H11" s="116">
        <v>120000</v>
      </c>
      <c r="I11" s="100">
        <f t="shared" si="1"/>
        <v>0</v>
      </c>
      <c r="J11" s="100">
        <f t="shared" si="0"/>
        <v>0</v>
      </c>
      <c r="K11" s="100">
        <f t="shared" si="0"/>
        <v>0</v>
      </c>
      <c r="L11" s="100">
        <f t="shared" si="0"/>
        <v>0</v>
      </c>
      <c r="M11" s="100">
        <f t="shared" si="0"/>
        <v>10000</v>
      </c>
      <c r="N11" s="100">
        <f t="shared" si="0"/>
        <v>10000</v>
      </c>
      <c r="O11" s="100">
        <f t="shared" si="0"/>
        <v>10000</v>
      </c>
      <c r="P11" s="100">
        <f t="shared" si="0"/>
        <v>10000</v>
      </c>
      <c r="Q11" s="100">
        <f t="shared" si="0"/>
        <v>10000</v>
      </c>
      <c r="R11" s="100">
        <f t="shared" si="0"/>
        <v>10000</v>
      </c>
      <c r="S11" s="100">
        <f t="shared" si="0"/>
        <v>10000</v>
      </c>
      <c r="T11" s="100">
        <f t="shared" si="0"/>
        <v>10000</v>
      </c>
      <c r="U11" s="100">
        <f>SUM(I11:T11)</f>
        <v>80000</v>
      </c>
    </row>
    <row r="12" spans="1:23" outlineLevel="2" x14ac:dyDescent="0.2">
      <c r="A12" s="231" t="s">
        <v>495</v>
      </c>
      <c r="B12" s="262" t="s">
        <v>287</v>
      </c>
      <c r="C12" s="262">
        <v>1</v>
      </c>
      <c r="D12" s="262"/>
      <c r="E12" s="262"/>
      <c r="F12" s="263"/>
      <c r="G12" s="262">
        <v>8291</v>
      </c>
      <c r="H12" s="116">
        <v>65000</v>
      </c>
      <c r="I12" s="100">
        <f t="shared" si="1"/>
        <v>5416.666666666667</v>
      </c>
      <c r="J12" s="100">
        <f t="shared" si="0"/>
        <v>5416.666666666667</v>
      </c>
      <c r="K12" s="100">
        <f t="shared" si="0"/>
        <v>5416.666666666667</v>
      </c>
      <c r="L12" s="100">
        <f t="shared" si="0"/>
        <v>5416.666666666667</v>
      </c>
      <c r="M12" s="100">
        <f t="shared" si="0"/>
        <v>5416.666666666667</v>
      </c>
      <c r="N12" s="100">
        <f t="shared" si="0"/>
        <v>5416.666666666667</v>
      </c>
      <c r="O12" s="100">
        <f t="shared" si="0"/>
        <v>5416.666666666667</v>
      </c>
      <c r="P12" s="100">
        <f t="shared" si="0"/>
        <v>5416.666666666667</v>
      </c>
      <c r="Q12" s="100">
        <f t="shared" si="0"/>
        <v>5416.666666666667</v>
      </c>
      <c r="R12" s="100">
        <f t="shared" si="0"/>
        <v>5416.666666666667</v>
      </c>
      <c r="S12" s="100">
        <f t="shared" si="0"/>
        <v>5416.666666666667</v>
      </c>
      <c r="T12" s="100">
        <f t="shared" si="0"/>
        <v>5416.666666666667</v>
      </c>
      <c r="U12" s="100">
        <f t="shared" ref="U12:U34" si="2">SUM(I12:T12)</f>
        <v>64999.999999999993</v>
      </c>
    </row>
    <row r="13" spans="1:23" outlineLevel="2" x14ac:dyDescent="0.2">
      <c r="A13" s="231" t="s">
        <v>495</v>
      </c>
      <c r="B13" s="262" t="s">
        <v>288</v>
      </c>
      <c r="C13" s="262">
        <v>1</v>
      </c>
      <c r="D13" s="262"/>
      <c r="E13" s="262"/>
      <c r="F13" s="263"/>
      <c r="G13" s="262">
        <v>8291</v>
      </c>
      <c r="H13" s="116">
        <v>65000</v>
      </c>
      <c r="I13" s="100">
        <f t="shared" si="1"/>
        <v>5416.666666666667</v>
      </c>
      <c r="J13" s="100">
        <f t="shared" si="0"/>
        <v>5416.666666666667</v>
      </c>
      <c r="K13" s="100">
        <f t="shared" si="0"/>
        <v>5416.666666666667</v>
      </c>
      <c r="L13" s="100">
        <f t="shared" si="0"/>
        <v>5416.666666666667</v>
      </c>
      <c r="M13" s="100">
        <f t="shared" si="0"/>
        <v>5416.666666666667</v>
      </c>
      <c r="N13" s="100">
        <f t="shared" si="0"/>
        <v>5416.666666666667</v>
      </c>
      <c r="O13" s="100">
        <f t="shared" si="0"/>
        <v>5416.666666666667</v>
      </c>
      <c r="P13" s="100">
        <f t="shared" si="0"/>
        <v>5416.666666666667</v>
      </c>
      <c r="Q13" s="100">
        <f t="shared" si="0"/>
        <v>5416.666666666667</v>
      </c>
      <c r="R13" s="100">
        <f t="shared" si="0"/>
        <v>5416.666666666667</v>
      </c>
      <c r="S13" s="100">
        <f t="shared" si="0"/>
        <v>5416.666666666667</v>
      </c>
      <c r="T13" s="100">
        <f t="shared" si="0"/>
        <v>5416.666666666667</v>
      </c>
      <c r="U13" s="100">
        <f t="shared" si="2"/>
        <v>64999.999999999993</v>
      </c>
    </row>
    <row r="14" spans="1:23" outlineLevel="2" x14ac:dyDescent="0.2">
      <c r="A14" s="231" t="s">
        <v>495</v>
      </c>
      <c r="B14" s="262" t="s">
        <v>289</v>
      </c>
      <c r="C14" s="262">
        <v>1</v>
      </c>
      <c r="D14" s="262"/>
      <c r="E14" s="262"/>
      <c r="F14" s="263"/>
      <c r="G14" s="262">
        <v>8291</v>
      </c>
      <c r="H14" s="116">
        <v>65000</v>
      </c>
      <c r="I14" s="100">
        <f t="shared" si="1"/>
        <v>5416.666666666667</v>
      </c>
      <c r="J14" s="100">
        <f t="shared" si="0"/>
        <v>5416.666666666667</v>
      </c>
      <c r="K14" s="100">
        <f t="shared" si="0"/>
        <v>5416.666666666667</v>
      </c>
      <c r="L14" s="100">
        <f t="shared" si="0"/>
        <v>5416.666666666667</v>
      </c>
      <c r="M14" s="100">
        <f t="shared" si="0"/>
        <v>5416.666666666667</v>
      </c>
      <c r="N14" s="100">
        <f t="shared" si="0"/>
        <v>5416.666666666667</v>
      </c>
      <c r="O14" s="100">
        <f t="shared" si="0"/>
        <v>5416.666666666667</v>
      </c>
      <c r="P14" s="100">
        <f t="shared" si="0"/>
        <v>5416.666666666667</v>
      </c>
      <c r="Q14" s="100">
        <f t="shared" si="0"/>
        <v>5416.666666666667</v>
      </c>
      <c r="R14" s="100">
        <f t="shared" si="0"/>
        <v>5416.666666666667</v>
      </c>
      <c r="S14" s="100">
        <f t="shared" si="0"/>
        <v>5416.666666666667</v>
      </c>
      <c r="T14" s="100">
        <f t="shared" si="0"/>
        <v>5416.666666666667</v>
      </c>
      <c r="U14" s="100">
        <f t="shared" si="2"/>
        <v>64999.999999999993</v>
      </c>
    </row>
    <row r="15" spans="1:23" outlineLevel="2" x14ac:dyDescent="0.2">
      <c r="A15" s="231" t="s">
        <v>495</v>
      </c>
      <c r="B15" s="262" t="s">
        <v>290</v>
      </c>
      <c r="C15" s="262">
        <v>1</v>
      </c>
      <c r="D15" s="262"/>
      <c r="E15" s="262"/>
      <c r="F15" s="263"/>
      <c r="G15" s="262">
        <v>8291</v>
      </c>
      <c r="H15" s="116">
        <v>65000</v>
      </c>
      <c r="I15" s="100">
        <f t="shared" si="1"/>
        <v>5416.666666666667</v>
      </c>
      <c r="J15" s="100">
        <f t="shared" si="0"/>
        <v>5416.666666666667</v>
      </c>
      <c r="K15" s="100">
        <f t="shared" si="0"/>
        <v>5416.666666666667</v>
      </c>
      <c r="L15" s="100">
        <f t="shared" si="0"/>
        <v>5416.666666666667</v>
      </c>
      <c r="M15" s="100">
        <f t="shared" si="0"/>
        <v>5416.666666666667</v>
      </c>
      <c r="N15" s="100">
        <f t="shared" si="0"/>
        <v>5416.666666666667</v>
      </c>
      <c r="O15" s="100">
        <f t="shared" si="0"/>
        <v>5416.666666666667</v>
      </c>
      <c r="P15" s="100">
        <f t="shared" si="0"/>
        <v>5416.666666666667</v>
      </c>
      <c r="Q15" s="100">
        <f t="shared" si="0"/>
        <v>5416.666666666667</v>
      </c>
      <c r="R15" s="100">
        <f t="shared" si="0"/>
        <v>5416.666666666667</v>
      </c>
      <c r="S15" s="100">
        <f t="shared" si="0"/>
        <v>5416.666666666667</v>
      </c>
      <c r="T15" s="100">
        <f t="shared" si="0"/>
        <v>5416.666666666667</v>
      </c>
      <c r="U15" s="100">
        <f t="shared" si="2"/>
        <v>64999.999999999993</v>
      </c>
    </row>
    <row r="16" spans="1:23" outlineLevel="2" x14ac:dyDescent="0.2">
      <c r="A16" s="231" t="s">
        <v>495</v>
      </c>
      <c r="B16" s="262" t="s">
        <v>291</v>
      </c>
      <c r="C16" s="262">
        <v>1</v>
      </c>
      <c r="D16" s="262"/>
      <c r="E16" s="262"/>
      <c r="F16" s="263"/>
      <c r="G16" s="262">
        <v>8291</v>
      </c>
      <c r="H16" s="116">
        <v>65000</v>
      </c>
      <c r="I16" s="100">
        <f t="shared" si="1"/>
        <v>5416.666666666667</v>
      </c>
      <c r="J16" s="100">
        <f t="shared" si="0"/>
        <v>5416.666666666667</v>
      </c>
      <c r="K16" s="100">
        <f t="shared" si="0"/>
        <v>5416.666666666667</v>
      </c>
      <c r="L16" s="100">
        <f t="shared" si="0"/>
        <v>5416.666666666667</v>
      </c>
      <c r="M16" s="100">
        <f t="shared" si="0"/>
        <v>5416.666666666667</v>
      </c>
      <c r="N16" s="100">
        <f t="shared" si="0"/>
        <v>5416.666666666667</v>
      </c>
      <c r="O16" s="100">
        <f t="shared" si="0"/>
        <v>5416.666666666667</v>
      </c>
      <c r="P16" s="100">
        <f t="shared" si="0"/>
        <v>5416.666666666667</v>
      </c>
      <c r="Q16" s="100">
        <f t="shared" si="0"/>
        <v>5416.666666666667</v>
      </c>
      <c r="R16" s="100">
        <f t="shared" si="0"/>
        <v>5416.666666666667</v>
      </c>
      <c r="S16" s="100">
        <f t="shared" si="0"/>
        <v>5416.666666666667</v>
      </c>
      <c r="T16" s="100">
        <f t="shared" si="0"/>
        <v>5416.666666666667</v>
      </c>
      <c r="U16" s="100">
        <f t="shared" si="2"/>
        <v>64999.999999999993</v>
      </c>
    </row>
    <row r="17" spans="1:21" outlineLevel="2" x14ac:dyDescent="0.2">
      <c r="A17" s="231" t="s">
        <v>495</v>
      </c>
      <c r="B17" s="262" t="s">
        <v>292</v>
      </c>
      <c r="C17" s="262">
        <v>1</v>
      </c>
      <c r="D17" s="262"/>
      <c r="E17" s="262"/>
      <c r="F17" s="263"/>
      <c r="G17" s="262">
        <v>8291</v>
      </c>
      <c r="H17" s="116">
        <v>65000</v>
      </c>
      <c r="I17" s="100">
        <f t="shared" si="1"/>
        <v>5416.666666666667</v>
      </c>
      <c r="J17" s="100">
        <f t="shared" si="0"/>
        <v>5416.666666666667</v>
      </c>
      <c r="K17" s="100">
        <f t="shared" si="0"/>
        <v>5416.666666666667</v>
      </c>
      <c r="L17" s="100">
        <f t="shared" si="0"/>
        <v>5416.666666666667</v>
      </c>
      <c r="M17" s="100">
        <f t="shared" si="0"/>
        <v>5416.666666666667</v>
      </c>
      <c r="N17" s="100">
        <f t="shared" si="0"/>
        <v>5416.666666666667</v>
      </c>
      <c r="O17" s="100">
        <f t="shared" si="0"/>
        <v>5416.666666666667</v>
      </c>
      <c r="P17" s="100">
        <f t="shared" si="0"/>
        <v>5416.666666666667</v>
      </c>
      <c r="Q17" s="100">
        <f t="shared" si="0"/>
        <v>5416.666666666667</v>
      </c>
      <c r="R17" s="100">
        <f t="shared" si="0"/>
        <v>5416.666666666667</v>
      </c>
      <c r="S17" s="100">
        <f t="shared" si="0"/>
        <v>5416.666666666667</v>
      </c>
      <c r="T17" s="100">
        <f t="shared" si="0"/>
        <v>5416.666666666667</v>
      </c>
      <c r="U17" s="100">
        <f t="shared" si="2"/>
        <v>64999.999999999993</v>
      </c>
    </row>
    <row r="18" spans="1:21" outlineLevel="2" x14ac:dyDescent="0.2">
      <c r="A18" s="231" t="s">
        <v>495</v>
      </c>
      <c r="B18" s="262" t="s">
        <v>293</v>
      </c>
      <c r="C18" s="262">
        <v>1</v>
      </c>
      <c r="D18" s="262"/>
      <c r="E18" s="262"/>
      <c r="F18" s="263"/>
      <c r="G18" s="262">
        <v>8291</v>
      </c>
      <c r="H18" s="116">
        <v>65000</v>
      </c>
      <c r="I18" s="100">
        <f t="shared" si="1"/>
        <v>5416.666666666667</v>
      </c>
      <c r="J18" s="100">
        <f t="shared" si="0"/>
        <v>5416.666666666667</v>
      </c>
      <c r="K18" s="100">
        <f t="shared" si="0"/>
        <v>5416.666666666667</v>
      </c>
      <c r="L18" s="100">
        <f t="shared" si="0"/>
        <v>5416.666666666667</v>
      </c>
      <c r="M18" s="100">
        <f t="shared" si="0"/>
        <v>5416.666666666667</v>
      </c>
      <c r="N18" s="100">
        <f t="shared" si="0"/>
        <v>5416.666666666667</v>
      </c>
      <c r="O18" s="100">
        <f t="shared" si="0"/>
        <v>5416.666666666667</v>
      </c>
      <c r="P18" s="100">
        <f t="shared" si="0"/>
        <v>5416.666666666667</v>
      </c>
      <c r="Q18" s="100">
        <f t="shared" si="0"/>
        <v>5416.666666666667</v>
      </c>
      <c r="R18" s="100">
        <f t="shared" si="0"/>
        <v>5416.666666666667</v>
      </c>
      <c r="S18" s="100">
        <f t="shared" si="0"/>
        <v>5416.666666666667</v>
      </c>
      <c r="T18" s="100">
        <f t="shared" si="0"/>
        <v>5416.666666666667</v>
      </c>
      <c r="U18" s="100">
        <f t="shared" si="2"/>
        <v>64999.999999999993</v>
      </c>
    </row>
    <row r="19" spans="1:21" outlineLevel="2" x14ac:dyDescent="0.2">
      <c r="A19" s="231" t="s">
        <v>495</v>
      </c>
      <c r="B19" s="262" t="s">
        <v>294</v>
      </c>
      <c r="C19" s="262">
        <v>3</v>
      </c>
      <c r="D19" s="262"/>
      <c r="E19" s="262"/>
      <c r="F19" s="263"/>
      <c r="G19" s="262">
        <v>8291</v>
      </c>
      <c r="H19" s="116">
        <v>65000</v>
      </c>
      <c r="I19" s="100">
        <f t="shared" si="1"/>
        <v>0</v>
      </c>
      <c r="J19" s="100">
        <f t="shared" si="0"/>
        <v>0</v>
      </c>
      <c r="K19" s="100">
        <f t="shared" si="0"/>
        <v>5416.666666666667</v>
      </c>
      <c r="L19" s="100">
        <f t="shared" si="0"/>
        <v>5416.666666666667</v>
      </c>
      <c r="M19" s="100">
        <f t="shared" si="0"/>
        <v>5416.666666666667</v>
      </c>
      <c r="N19" s="100">
        <f t="shared" si="0"/>
        <v>5416.666666666667</v>
      </c>
      <c r="O19" s="100">
        <f t="shared" si="0"/>
        <v>5416.666666666667</v>
      </c>
      <c r="P19" s="100">
        <f t="shared" si="0"/>
        <v>5416.666666666667</v>
      </c>
      <c r="Q19" s="100">
        <f t="shared" si="0"/>
        <v>5416.666666666667</v>
      </c>
      <c r="R19" s="100">
        <f t="shared" si="0"/>
        <v>5416.666666666667</v>
      </c>
      <c r="S19" s="100">
        <f t="shared" si="0"/>
        <v>5416.666666666667</v>
      </c>
      <c r="T19" s="100">
        <f t="shared" si="0"/>
        <v>5416.666666666667</v>
      </c>
      <c r="U19" s="100">
        <f t="shared" si="2"/>
        <v>54166.666666666664</v>
      </c>
    </row>
    <row r="20" spans="1:21" outlineLevel="2" x14ac:dyDescent="0.2">
      <c r="A20" s="231" t="s">
        <v>495</v>
      </c>
      <c r="B20" s="262" t="s">
        <v>295</v>
      </c>
      <c r="C20" s="262">
        <v>3</v>
      </c>
      <c r="D20" s="262"/>
      <c r="E20" s="262"/>
      <c r="F20" s="263"/>
      <c r="G20" s="262">
        <v>8291</v>
      </c>
      <c r="H20" s="116">
        <v>65000</v>
      </c>
      <c r="I20" s="100">
        <f t="shared" si="1"/>
        <v>0</v>
      </c>
      <c r="J20" s="100">
        <f t="shared" si="0"/>
        <v>0</v>
      </c>
      <c r="K20" s="100">
        <f t="shared" si="0"/>
        <v>5416.666666666667</v>
      </c>
      <c r="L20" s="100">
        <f t="shared" si="0"/>
        <v>5416.666666666667</v>
      </c>
      <c r="M20" s="100">
        <f t="shared" si="0"/>
        <v>5416.666666666667</v>
      </c>
      <c r="N20" s="100">
        <f t="shared" si="0"/>
        <v>5416.666666666667</v>
      </c>
      <c r="O20" s="100">
        <f t="shared" si="0"/>
        <v>5416.666666666667</v>
      </c>
      <c r="P20" s="100">
        <f t="shared" si="0"/>
        <v>5416.666666666667</v>
      </c>
      <c r="Q20" s="100">
        <f t="shared" si="0"/>
        <v>5416.666666666667</v>
      </c>
      <c r="R20" s="100">
        <f t="shared" si="0"/>
        <v>5416.666666666667</v>
      </c>
      <c r="S20" s="100">
        <f t="shared" si="0"/>
        <v>5416.666666666667</v>
      </c>
      <c r="T20" s="100">
        <f t="shared" si="0"/>
        <v>5416.666666666667</v>
      </c>
      <c r="U20" s="100">
        <f t="shared" si="2"/>
        <v>54166.666666666664</v>
      </c>
    </row>
    <row r="21" spans="1:21" outlineLevel="2" x14ac:dyDescent="0.2">
      <c r="A21" s="231" t="s">
        <v>495</v>
      </c>
      <c r="B21" s="262" t="s">
        <v>296</v>
      </c>
      <c r="C21" s="262">
        <v>4</v>
      </c>
      <c r="D21" s="262"/>
      <c r="E21" s="262"/>
      <c r="F21" s="263"/>
      <c r="G21" s="262">
        <v>8291</v>
      </c>
      <c r="H21" s="116">
        <v>65000</v>
      </c>
      <c r="I21" s="100">
        <f t="shared" si="1"/>
        <v>0</v>
      </c>
      <c r="J21" s="100">
        <f t="shared" si="0"/>
        <v>0</v>
      </c>
      <c r="K21" s="100">
        <f t="shared" si="0"/>
        <v>0</v>
      </c>
      <c r="L21" s="100">
        <f t="shared" si="0"/>
        <v>5416.666666666667</v>
      </c>
      <c r="M21" s="100">
        <f t="shared" si="0"/>
        <v>5416.666666666667</v>
      </c>
      <c r="N21" s="100">
        <f t="shared" si="0"/>
        <v>5416.666666666667</v>
      </c>
      <c r="O21" s="100">
        <f t="shared" si="0"/>
        <v>5416.666666666667</v>
      </c>
      <c r="P21" s="100">
        <f t="shared" si="0"/>
        <v>5416.666666666667</v>
      </c>
      <c r="Q21" s="100">
        <f t="shared" si="0"/>
        <v>5416.666666666667</v>
      </c>
      <c r="R21" s="100">
        <f t="shared" si="0"/>
        <v>5416.666666666667</v>
      </c>
      <c r="S21" s="100">
        <f t="shared" si="0"/>
        <v>5416.666666666667</v>
      </c>
      <c r="T21" s="100">
        <f t="shared" si="0"/>
        <v>5416.666666666667</v>
      </c>
      <c r="U21" s="100">
        <f t="shared" si="2"/>
        <v>48750</v>
      </c>
    </row>
    <row r="22" spans="1:21" outlineLevel="2" x14ac:dyDescent="0.2">
      <c r="A22" s="231" t="s">
        <v>495</v>
      </c>
      <c r="B22" s="262" t="s">
        <v>297</v>
      </c>
      <c r="C22" s="262">
        <v>4</v>
      </c>
      <c r="D22" s="262"/>
      <c r="E22" s="262"/>
      <c r="F22" s="263"/>
      <c r="G22" s="262">
        <v>8291</v>
      </c>
      <c r="H22" s="116">
        <v>65000</v>
      </c>
      <c r="I22" s="100">
        <f t="shared" si="1"/>
        <v>0</v>
      </c>
      <c r="J22" s="100">
        <f t="shared" si="0"/>
        <v>0</v>
      </c>
      <c r="K22" s="100">
        <f t="shared" si="0"/>
        <v>0</v>
      </c>
      <c r="L22" s="100">
        <f t="shared" si="0"/>
        <v>5416.666666666667</v>
      </c>
      <c r="M22" s="100">
        <f t="shared" si="0"/>
        <v>5416.666666666667</v>
      </c>
      <c r="N22" s="100">
        <f t="shared" si="0"/>
        <v>5416.666666666667</v>
      </c>
      <c r="O22" s="100">
        <f t="shared" si="0"/>
        <v>5416.666666666667</v>
      </c>
      <c r="P22" s="100">
        <f t="shared" si="0"/>
        <v>5416.666666666667</v>
      </c>
      <c r="Q22" s="100">
        <f t="shared" si="0"/>
        <v>5416.666666666667</v>
      </c>
      <c r="R22" s="100">
        <f t="shared" si="0"/>
        <v>5416.666666666667</v>
      </c>
      <c r="S22" s="100">
        <f t="shared" si="0"/>
        <v>5416.666666666667</v>
      </c>
      <c r="T22" s="100">
        <f t="shared" si="0"/>
        <v>5416.666666666667</v>
      </c>
      <c r="U22" s="100">
        <f t="shared" si="2"/>
        <v>48750</v>
      </c>
    </row>
    <row r="23" spans="1:21" outlineLevel="2" x14ac:dyDescent="0.2">
      <c r="A23" s="231" t="s">
        <v>495</v>
      </c>
      <c r="B23" s="262" t="s">
        <v>298</v>
      </c>
      <c r="C23" s="262">
        <v>5</v>
      </c>
      <c r="D23" s="262"/>
      <c r="E23" s="262"/>
      <c r="F23" s="263"/>
      <c r="G23" s="262">
        <v>8291</v>
      </c>
      <c r="H23" s="116">
        <v>65000</v>
      </c>
      <c r="I23" s="100">
        <f t="shared" si="1"/>
        <v>0</v>
      </c>
      <c r="J23" s="100">
        <f t="shared" si="0"/>
        <v>0</v>
      </c>
      <c r="K23" s="100">
        <f t="shared" si="0"/>
        <v>0</v>
      </c>
      <c r="L23" s="100">
        <f t="shared" si="0"/>
        <v>0</v>
      </c>
      <c r="M23" s="100">
        <f t="shared" si="0"/>
        <v>5416.666666666667</v>
      </c>
      <c r="N23" s="100">
        <f t="shared" si="0"/>
        <v>5416.666666666667</v>
      </c>
      <c r="O23" s="100">
        <f t="shared" si="0"/>
        <v>5416.666666666667</v>
      </c>
      <c r="P23" s="100">
        <f t="shared" si="0"/>
        <v>5416.666666666667</v>
      </c>
      <c r="Q23" s="100">
        <f t="shared" si="0"/>
        <v>5416.666666666667</v>
      </c>
      <c r="R23" s="100">
        <f t="shared" si="0"/>
        <v>5416.666666666667</v>
      </c>
      <c r="S23" s="100">
        <f t="shared" si="0"/>
        <v>5416.666666666667</v>
      </c>
      <c r="T23" s="100">
        <f t="shared" si="0"/>
        <v>5416.666666666667</v>
      </c>
      <c r="U23" s="100">
        <f t="shared" si="2"/>
        <v>43333.333333333336</v>
      </c>
    </row>
    <row r="24" spans="1:21" outlineLevel="2" x14ac:dyDescent="0.2">
      <c r="A24" s="231" t="s">
        <v>495</v>
      </c>
      <c r="B24" s="262" t="s">
        <v>299</v>
      </c>
      <c r="C24" s="262">
        <v>5</v>
      </c>
      <c r="D24" s="262"/>
      <c r="E24" s="262"/>
      <c r="F24" s="263"/>
      <c r="G24" s="262">
        <v>8291</v>
      </c>
      <c r="H24" s="116">
        <v>65000</v>
      </c>
      <c r="I24" s="100">
        <f t="shared" si="1"/>
        <v>0</v>
      </c>
      <c r="J24" s="100">
        <f t="shared" si="0"/>
        <v>0</v>
      </c>
      <c r="K24" s="100">
        <f t="shared" si="0"/>
        <v>0</v>
      </c>
      <c r="L24" s="100">
        <f t="shared" si="0"/>
        <v>0</v>
      </c>
      <c r="M24" s="100">
        <f t="shared" si="0"/>
        <v>5416.666666666667</v>
      </c>
      <c r="N24" s="100">
        <f t="shared" si="0"/>
        <v>5416.666666666667</v>
      </c>
      <c r="O24" s="100">
        <f t="shared" si="0"/>
        <v>5416.666666666667</v>
      </c>
      <c r="P24" s="100">
        <f t="shared" si="0"/>
        <v>5416.666666666667</v>
      </c>
      <c r="Q24" s="100">
        <f t="shared" si="0"/>
        <v>5416.666666666667</v>
      </c>
      <c r="R24" s="100">
        <f t="shared" si="0"/>
        <v>5416.666666666667</v>
      </c>
      <c r="S24" s="100">
        <f t="shared" si="0"/>
        <v>5416.666666666667</v>
      </c>
      <c r="T24" s="100">
        <f t="shared" si="0"/>
        <v>5416.666666666667</v>
      </c>
      <c r="U24" s="100">
        <f t="shared" si="2"/>
        <v>43333.333333333336</v>
      </c>
    </row>
    <row r="25" spans="1:21" outlineLevel="2" x14ac:dyDescent="0.2">
      <c r="A25" s="231" t="s">
        <v>495</v>
      </c>
      <c r="B25" s="262" t="s">
        <v>300</v>
      </c>
      <c r="C25" s="262">
        <v>6</v>
      </c>
      <c r="D25" s="262"/>
      <c r="E25" s="262"/>
      <c r="F25" s="263"/>
      <c r="G25" s="262">
        <v>8291</v>
      </c>
      <c r="H25" s="116">
        <v>65000</v>
      </c>
      <c r="I25" s="100">
        <f t="shared" si="1"/>
        <v>0</v>
      </c>
      <c r="J25" s="100">
        <f t="shared" si="1"/>
        <v>0</v>
      </c>
      <c r="K25" s="100">
        <f t="shared" si="1"/>
        <v>0</v>
      </c>
      <c r="L25" s="100">
        <f t="shared" si="1"/>
        <v>0</v>
      </c>
      <c r="M25" s="100">
        <f t="shared" si="1"/>
        <v>0</v>
      </c>
      <c r="N25" s="100">
        <f t="shared" si="1"/>
        <v>5416.666666666667</v>
      </c>
      <c r="O25" s="100">
        <f t="shared" si="1"/>
        <v>5416.666666666667</v>
      </c>
      <c r="P25" s="100">
        <f t="shared" si="1"/>
        <v>5416.666666666667</v>
      </c>
      <c r="Q25" s="100">
        <f t="shared" si="1"/>
        <v>5416.666666666667</v>
      </c>
      <c r="R25" s="100">
        <f t="shared" si="1"/>
        <v>5416.666666666667</v>
      </c>
      <c r="S25" s="100">
        <f t="shared" si="1"/>
        <v>5416.666666666667</v>
      </c>
      <c r="T25" s="100">
        <f t="shared" si="1"/>
        <v>5416.666666666667</v>
      </c>
      <c r="U25" s="100">
        <f t="shared" si="2"/>
        <v>37916.666666666672</v>
      </c>
    </row>
    <row r="26" spans="1:21" outlineLevel="2" x14ac:dyDescent="0.2">
      <c r="A26" s="231" t="s">
        <v>495</v>
      </c>
      <c r="B26" s="262" t="s">
        <v>301</v>
      </c>
      <c r="C26" s="262">
        <v>6</v>
      </c>
      <c r="D26" s="262"/>
      <c r="E26" s="262"/>
      <c r="F26" s="263"/>
      <c r="G26" s="262">
        <v>8291</v>
      </c>
      <c r="H26" s="116">
        <v>65000</v>
      </c>
      <c r="I26" s="100">
        <f t="shared" si="1"/>
        <v>0</v>
      </c>
      <c r="J26" s="100">
        <f t="shared" si="1"/>
        <v>0</v>
      </c>
      <c r="K26" s="100">
        <f t="shared" si="1"/>
        <v>0</v>
      </c>
      <c r="L26" s="100">
        <f t="shared" si="1"/>
        <v>0</v>
      </c>
      <c r="M26" s="100">
        <f t="shared" si="1"/>
        <v>0</v>
      </c>
      <c r="N26" s="100">
        <f t="shared" si="1"/>
        <v>5416.666666666667</v>
      </c>
      <c r="O26" s="100">
        <f t="shared" si="1"/>
        <v>5416.666666666667</v>
      </c>
      <c r="P26" s="100">
        <f t="shared" si="1"/>
        <v>5416.666666666667</v>
      </c>
      <c r="Q26" s="100">
        <f t="shared" si="1"/>
        <v>5416.666666666667</v>
      </c>
      <c r="R26" s="100">
        <f t="shared" si="1"/>
        <v>5416.666666666667</v>
      </c>
      <c r="S26" s="100">
        <f t="shared" si="1"/>
        <v>5416.666666666667</v>
      </c>
      <c r="T26" s="100">
        <f t="shared" si="1"/>
        <v>5416.666666666667</v>
      </c>
      <c r="U26" s="100">
        <f t="shared" si="2"/>
        <v>37916.666666666672</v>
      </c>
    </row>
    <row r="27" spans="1:21" outlineLevel="2" x14ac:dyDescent="0.2">
      <c r="A27" s="231" t="s">
        <v>495</v>
      </c>
      <c r="B27" s="262" t="s">
        <v>302</v>
      </c>
      <c r="C27" s="262">
        <v>7</v>
      </c>
      <c r="D27" s="262"/>
      <c r="E27" s="262"/>
      <c r="F27" s="263"/>
      <c r="G27" s="262">
        <v>8291</v>
      </c>
      <c r="H27" s="116">
        <v>65000</v>
      </c>
      <c r="I27" s="100">
        <f t="shared" si="1"/>
        <v>0</v>
      </c>
      <c r="J27" s="100">
        <f t="shared" si="1"/>
        <v>0</v>
      </c>
      <c r="K27" s="100">
        <f t="shared" si="1"/>
        <v>0</v>
      </c>
      <c r="L27" s="100">
        <f t="shared" si="1"/>
        <v>0</v>
      </c>
      <c r="M27" s="100">
        <f t="shared" si="1"/>
        <v>0</v>
      </c>
      <c r="N27" s="100">
        <f t="shared" si="1"/>
        <v>0</v>
      </c>
      <c r="O27" s="100">
        <f t="shared" si="1"/>
        <v>5416.666666666667</v>
      </c>
      <c r="P27" s="100">
        <f t="shared" si="1"/>
        <v>5416.666666666667</v>
      </c>
      <c r="Q27" s="100">
        <f t="shared" si="1"/>
        <v>5416.666666666667</v>
      </c>
      <c r="R27" s="100">
        <f t="shared" si="1"/>
        <v>5416.666666666667</v>
      </c>
      <c r="S27" s="100">
        <f t="shared" si="1"/>
        <v>5416.666666666667</v>
      </c>
      <c r="T27" s="100">
        <f t="shared" si="1"/>
        <v>5416.666666666667</v>
      </c>
      <c r="U27" s="100">
        <f t="shared" si="2"/>
        <v>32500.000000000004</v>
      </c>
    </row>
    <row r="28" spans="1:21" outlineLevel="2" x14ac:dyDescent="0.2">
      <c r="A28" s="231" t="s">
        <v>495</v>
      </c>
      <c r="B28" s="262" t="s">
        <v>303</v>
      </c>
      <c r="C28" s="262">
        <v>7</v>
      </c>
      <c r="D28" s="262"/>
      <c r="E28" s="262"/>
      <c r="F28" s="263"/>
      <c r="G28" s="262">
        <v>8291</v>
      </c>
      <c r="H28" s="116">
        <v>65000</v>
      </c>
      <c r="I28" s="100">
        <f t="shared" si="1"/>
        <v>0</v>
      </c>
      <c r="J28" s="100">
        <f t="shared" si="1"/>
        <v>0</v>
      </c>
      <c r="K28" s="100">
        <f t="shared" si="1"/>
        <v>0</v>
      </c>
      <c r="L28" s="100">
        <f t="shared" si="1"/>
        <v>0</v>
      </c>
      <c r="M28" s="100">
        <f t="shared" si="1"/>
        <v>0</v>
      </c>
      <c r="N28" s="100">
        <f t="shared" si="1"/>
        <v>0</v>
      </c>
      <c r="O28" s="100">
        <f t="shared" si="1"/>
        <v>5416.666666666667</v>
      </c>
      <c r="P28" s="100">
        <f t="shared" si="1"/>
        <v>5416.666666666667</v>
      </c>
      <c r="Q28" s="100">
        <f t="shared" si="1"/>
        <v>5416.666666666667</v>
      </c>
      <c r="R28" s="100">
        <f t="shared" si="1"/>
        <v>5416.666666666667</v>
      </c>
      <c r="S28" s="100">
        <f t="shared" si="1"/>
        <v>5416.666666666667</v>
      </c>
      <c r="T28" s="100">
        <f t="shared" si="1"/>
        <v>5416.666666666667</v>
      </c>
      <c r="U28" s="100">
        <f t="shared" si="2"/>
        <v>32500.000000000004</v>
      </c>
    </row>
    <row r="29" spans="1:21" outlineLevel="2" x14ac:dyDescent="0.2">
      <c r="A29" s="231" t="s">
        <v>495</v>
      </c>
      <c r="B29" s="262" t="s">
        <v>304</v>
      </c>
      <c r="C29" s="262">
        <v>8</v>
      </c>
      <c r="D29" s="262"/>
      <c r="E29" s="262"/>
      <c r="F29" s="263"/>
      <c r="G29" s="262">
        <v>8291</v>
      </c>
      <c r="H29" s="116">
        <v>65000</v>
      </c>
      <c r="I29" s="100">
        <f t="shared" si="1"/>
        <v>0</v>
      </c>
      <c r="J29" s="100">
        <f t="shared" si="1"/>
        <v>0</v>
      </c>
      <c r="K29" s="100">
        <f t="shared" si="1"/>
        <v>0</v>
      </c>
      <c r="L29" s="100">
        <f t="shared" si="1"/>
        <v>0</v>
      </c>
      <c r="M29" s="100">
        <f t="shared" si="1"/>
        <v>0</v>
      </c>
      <c r="N29" s="100">
        <f t="shared" si="1"/>
        <v>0</v>
      </c>
      <c r="O29" s="100">
        <f t="shared" si="1"/>
        <v>0</v>
      </c>
      <c r="P29" s="100">
        <f t="shared" si="1"/>
        <v>5416.666666666667</v>
      </c>
      <c r="Q29" s="100">
        <f t="shared" si="1"/>
        <v>5416.666666666667</v>
      </c>
      <c r="R29" s="100">
        <f t="shared" si="1"/>
        <v>5416.666666666667</v>
      </c>
      <c r="S29" s="100">
        <f t="shared" si="1"/>
        <v>5416.666666666667</v>
      </c>
      <c r="T29" s="100">
        <f t="shared" si="1"/>
        <v>5416.666666666667</v>
      </c>
      <c r="U29" s="100">
        <f t="shared" si="2"/>
        <v>27083.333333333336</v>
      </c>
    </row>
    <row r="30" spans="1:21" outlineLevel="2" x14ac:dyDescent="0.2">
      <c r="A30" s="231" t="s">
        <v>495</v>
      </c>
      <c r="B30" s="262" t="s">
        <v>305</v>
      </c>
      <c r="C30" s="262">
        <v>8</v>
      </c>
      <c r="D30" s="262"/>
      <c r="E30" s="262"/>
      <c r="F30" s="263"/>
      <c r="G30" s="262">
        <v>8291</v>
      </c>
      <c r="H30" s="116">
        <v>65000</v>
      </c>
      <c r="I30" s="100">
        <f t="shared" si="1"/>
        <v>0</v>
      </c>
      <c r="J30" s="100">
        <f t="shared" si="1"/>
        <v>0</v>
      </c>
      <c r="K30" s="100">
        <f t="shared" si="1"/>
        <v>0</v>
      </c>
      <c r="L30" s="100">
        <f t="shared" si="1"/>
        <v>0</v>
      </c>
      <c r="M30" s="100">
        <f t="shared" si="1"/>
        <v>0</v>
      </c>
      <c r="N30" s="100">
        <f t="shared" si="1"/>
        <v>0</v>
      </c>
      <c r="O30" s="100">
        <f t="shared" si="1"/>
        <v>0</v>
      </c>
      <c r="P30" s="100">
        <f t="shared" si="1"/>
        <v>5416.666666666667</v>
      </c>
      <c r="Q30" s="100">
        <f t="shared" si="1"/>
        <v>5416.666666666667</v>
      </c>
      <c r="R30" s="100">
        <f t="shared" si="1"/>
        <v>5416.666666666667</v>
      </c>
      <c r="S30" s="100">
        <f t="shared" si="1"/>
        <v>5416.666666666667</v>
      </c>
      <c r="T30" s="100">
        <f t="shared" si="1"/>
        <v>5416.666666666667</v>
      </c>
      <c r="U30" s="100">
        <f t="shared" si="2"/>
        <v>27083.333333333336</v>
      </c>
    </row>
    <row r="31" spans="1:21" outlineLevel="2" x14ac:dyDescent="0.2">
      <c r="A31" s="231" t="s">
        <v>495</v>
      </c>
      <c r="B31" s="262" t="s">
        <v>306</v>
      </c>
      <c r="C31" s="262">
        <v>9</v>
      </c>
      <c r="D31" s="262"/>
      <c r="E31" s="262"/>
      <c r="F31" s="263"/>
      <c r="G31" s="262">
        <v>8291</v>
      </c>
      <c r="H31" s="116">
        <v>65000</v>
      </c>
      <c r="I31" s="100">
        <f t="shared" si="1"/>
        <v>0</v>
      </c>
      <c r="J31" s="100">
        <f t="shared" si="1"/>
        <v>0</v>
      </c>
      <c r="K31" s="100">
        <f t="shared" si="1"/>
        <v>0</v>
      </c>
      <c r="L31" s="100">
        <f t="shared" si="1"/>
        <v>0</v>
      </c>
      <c r="M31" s="100">
        <f t="shared" si="1"/>
        <v>0</v>
      </c>
      <c r="N31" s="100">
        <f t="shared" si="1"/>
        <v>0</v>
      </c>
      <c r="O31" s="100">
        <f t="shared" si="1"/>
        <v>0</v>
      </c>
      <c r="P31" s="100">
        <f t="shared" si="1"/>
        <v>0</v>
      </c>
      <c r="Q31" s="100">
        <f t="shared" si="1"/>
        <v>5416.666666666667</v>
      </c>
      <c r="R31" s="100">
        <f t="shared" si="1"/>
        <v>5416.666666666667</v>
      </c>
      <c r="S31" s="100">
        <f t="shared" si="1"/>
        <v>5416.666666666667</v>
      </c>
      <c r="T31" s="100">
        <f t="shared" si="1"/>
        <v>5416.666666666667</v>
      </c>
      <c r="U31" s="100">
        <f t="shared" si="2"/>
        <v>21666.666666666668</v>
      </c>
    </row>
    <row r="32" spans="1:21" outlineLevel="2" x14ac:dyDescent="0.2">
      <c r="A32" s="231" t="s">
        <v>495</v>
      </c>
      <c r="B32" s="262" t="s">
        <v>307</v>
      </c>
      <c r="C32" s="262">
        <v>9</v>
      </c>
      <c r="D32" s="262"/>
      <c r="E32" s="262"/>
      <c r="F32" s="263"/>
      <c r="G32" s="262">
        <v>8291</v>
      </c>
      <c r="H32" s="116">
        <v>65000</v>
      </c>
      <c r="I32" s="100">
        <f t="shared" si="1"/>
        <v>0</v>
      </c>
      <c r="J32" s="100">
        <f t="shared" si="1"/>
        <v>0</v>
      </c>
      <c r="K32" s="100">
        <f t="shared" si="1"/>
        <v>0</v>
      </c>
      <c r="L32" s="100">
        <f t="shared" si="1"/>
        <v>0</v>
      </c>
      <c r="M32" s="100">
        <f t="shared" si="1"/>
        <v>0</v>
      </c>
      <c r="N32" s="100">
        <f t="shared" si="1"/>
        <v>0</v>
      </c>
      <c r="O32" s="100">
        <f t="shared" si="1"/>
        <v>0</v>
      </c>
      <c r="P32" s="100">
        <f t="shared" si="1"/>
        <v>0</v>
      </c>
      <c r="Q32" s="100">
        <f t="shared" si="1"/>
        <v>5416.666666666667</v>
      </c>
      <c r="R32" s="100">
        <f t="shared" si="1"/>
        <v>5416.666666666667</v>
      </c>
      <c r="S32" s="100">
        <f t="shared" si="1"/>
        <v>5416.666666666667</v>
      </c>
      <c r="T32" s="100">
        <f t="shared" si="1"/>
        <v>5416.666666666667</v>
      </c>
      <c r="U32" s="100">
        <f t="shared" si="2"/>
        <v>21666.666666666668</v>
      </c>
    </row>
    <row r="33" spans="1:21" outlineLevel="2" x14ac:dyDescent="0.2">
      <c r="A33" s="231" t="s">
        <v>495</v>
      </c>
      <c r="B33" s="262" t="s">
        <v>308</v>
      </c>
      <c r="C33" s="262">
        <v>10</v>
      </c>
      <c r="D33" s="262"/>
      <c r="E33" s="262"/>
      <c r="F33" s="263"/>
      <c r="G33" s="262">
        <v>8291</v>
      </c>
      <c r="H33" s="116">
        <v>65000</v>
      </c>
      <c r="I33" s="100">
        <f t="shared" si="1"/>
        <v>0</v>
      </c>
      <c r="J33" s="100">
        <f t="shared" si="1"/>
        <v>0</v>
      </c>
      <c r="K33" s="100">
        <f t="shared" si="1"/>
        <v>0</v>
      </c>
      <c r="L33" s="100">
        <f t="shared" si="1"/>
        <v>0</v>
      </c>
      <c r="M33" s="100">
        <f t="shared" si="1"/>
        <v>0</v>
      </c>
      <c r="N33" s="100">
        <f t="shared" si="1"/>
        <v>0</v>
      </c>
      <c r="O33" s="100">
        <f t="shared" si="1"/>
        <v>0</v>
      </c>
      <c r="P33" s="100">
        <f t="shared" si="1"/>
        <v>0</v>
      </c>
      <c r="Q33" s="100">
        <f t="shared" si="1"/>
        <v>0</v>
      </c>
      <c r="R33" s="100">
        <f t="shared" si="1"/>
        <v>5416.666666666667</v>
      </c>
      <c r="S33" s="100">
        <f t="shared" si="1"/>
        <v>5416.666666666667</v>
      </c>
      <c r="T33" s="100">
        <f t="shared" si="1"/>
        <v>5416.666666666667</v>
      </c>
      <c r="U33" s="100">
        <f t="shared" si="2"/>
        <v>16250</v>
      </c>
    </row>
    <row r="34" spans="1:21" outlineLevel="2" x14ac:dyDescent="0.2">
      <c r="A34" s="231" t="s">
        <v>495</v>
      </c>
      <c r="B34" s="262" t="s">
        <v>309</v>
      </c>
      <c r="C34" s="262">
        <v>10</v>
      </c>
      <c r="D34" s="262"/>
      <c r="E34" s="262"/>
      <c r="F34" s="263"/>
      <c r="G34" s="262">
        <v>8291</v>
      </c>
      <c r="H34" s="116">
        <v>65000</v>
      </c>
      <c r="I34" s="100">
        <f t="shared" si="1"/>
        <v>0</v>
      </c>
      <c r="J34" s="100">
        <f t="shared" si="1"/>
        <v>0</v>
      </c>
      <c r="K34" s="100">
        <f t="shared" si="1"/>
        <v>0</v>
      </c>
      <c r="L34" s="100">
        <f t="shared" si="1"/>
        <v>0</v>
      </c>
      <c r="M34" s="100">
        <f t="shared" si="1"/>
        <v>0</v>
      </c>
      <c r="N34" s="100">
        <f t="shared" si="1"/>
        <v>0</v>
      </c>
      <c r="O34" s="100">
        <f t="shared" si="1"/>
        <v>0</v>
      </c>
      <c r="P34" s="100">
        <f t="shared" si="1"/>
        <v>0</v>
      </c>
      <c r="Q34" s="100">
        <f t="shared" si="1"/>
        <v>0</v>
      </c>
      <c r="R34" s="100">
        <f t="shared" si="1"/>
        <v>5416.666666666667</v>
      </c>
      <c r="S34" s="100">
        <f t="shared" si="1"/>
        <v>5416.666666666667</v>
      </c>
      <c r="T34" s="100">
        <f t="shared" si="1"/>
        <v>5416.666666666667</v>
      </c>
      <c r="U34" s="100">
        <f t="shared" si="2"/>
        <v>16250</v>
      </c>
    </row>
    <row r="35" spans="1:21" outlineLevel="2" x14ac:dyDescent="0.2">
      <c r="B35" s="262"/>
      <c r="C35" s="262"/>
      <c r="D35" s="262"/>
      <c r="E35" s="262"/>
      <c r="F35" s="263"/>
      <c r="G35" s="262"/>
      <c r="H35" s="116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</row>
    <row r="36" spans="1:21" s="234" customFormat="1" outlineLevel="2" x14ac:dyDescent="0.2">
      <c r="B36" s="264"/>
      <c r="C36" s="264">
        <f>SUBTOTAL(3,C9:C35)</f>
        <v>26</v>
      </c>
      <c r="H36" s="115"/>
      <c r="I36" s="264">
        <f>COUNTIF(I8:I35,"&gt;0")</f>
        <v>9</v>
      </c>
      <c r="J36" s="264">
        <f t="shared" ref="J36:U36" si="3">COUNTIF(J8:J35,"&gt;0")</f>
        <v>9</v>
      </c>
      <c r="K36" s="264">
        <f t="shared" si="3"/>
        <v>11</v>
      </c>
      <c r="L36" s="264">
        <f t="shared" si="3"/>
        <v>13</v>
      </c>
      <c r="M36" s="264">
        <f t="shared" si="3"/>
        <v>16</v>
      </c>
      <c r="N36" s="264">
        <f t="shared" si="3"/>
        <v>18</v>
      </c>
      <c r="O36" s="264">
        <f t="shared" si="3"/>
        <v>20</v>
      </c>
      <c r="P36" s="264">
        <f t="shared" si="3"/>
        <v>22</v>
      </c>
      <c r="Q36" s="264">
        <f t="shared" si="3"/>
        <v>24</v>
      </c>
      <c r="R36" s="264">
        <f t="shared" si="3"/>
        <v>26</v>
      </c>
      <c r="S36" s="264">
        <f t="shared" si="3"/>
        <v>26</v>
      </c>
      <c r="T36" s="264">
        <f t="shared" si="3"/>
        <v>26</v>
      </c>
      <c r="U36" s="264">
        <f t="shared" si="3"/>
        <v>26</v>
      </c>
    </row>
    <row r="37" spans="1:21" s="230" customFormat="1" outlineLevel="1" x14ac:dyDescent="0.2">
      <c r="B37" s="230" t="s">
        <v>128</v>
      </c>
      <c r="I37" s="104">
        <f>SUM(I9:I36)</f>
        <v>61675.666666666657</v>
      </c>
      <c r="J37" s="104">
        <f t="shared" ref="J37:U37" si="4">SUM(J9:J35)</f>
        <v>61666.666666666657</v>
      </c>
      <c r="K37" s="104">
        <f t="shared" si="4"/>
        <v>72500</v>
      </c>
      <c r="L37" s="104">
        <f t="shared" si="4"/>
        <v>83333.333333333343</v>
      </c>
      <c r="M37" s="104">
        <f t="shared" si="4"/>
        <v>104166.66666666669</v>
      </c>
      <c r="N37" s="104">
        <f t="shared" si="4"/>
        <v>115000.00000000003</v>
      </c>
      <c r="O37" s="104">
        <f t="shared" si="4"/>
        <v>125833.33333333337</v>
      </c>
      <c r="P37" s="104">
        <f t="shared" si="4"/>
        <v>136666.66666666669</v>
      </c>
      <c r="Q37" s="104">
        <f t="shared" si="4"/>
        <v>147500</v>
      </c>
      <c r="R37" s="104">
        <f t="shared" si="4"/>
        <v>158333.33333333331</v>
      </c>
      <c r="S37" s="104">
        <f t="shared" si="4"/>
        <v>158333.33333333331</v>
      </c>
      <c r="T37" s="104">
        <f t="shared" si="4"/>
        <v>158333.33333333331</v>
      </c>
      <c r="U37" s="104">
        <f t="shared" si="4"/>
        <v>1383333.3333333333</v>
      </c>
    </row>
    <row r="38" spans="1:21" outlineLevel="2" x14ac:dyDescent="0.2"/>
    <row r="39" spans="1:21" outlineLevel="2" x14ac:dyDescent="0.2">
      <c r="B39" s="254" t="s">
        <v>129</v>
      </c>
      <c r="C39" s="299" t="s">
        <v>34</v>
      </c>
      <c r="D39" s="299"/>
      <c r="E39" s="299" t="s">
        <v>35</v>
      </c>
      <c r="F39" s="299"/>
      <c r="G39" s="256"/>
    </row>
    <row r="40" spans="1:21" outlineLevel="2" x14ac:dyDescent="0.2">
      <c r="B40" s="257" t="s">
        <v>37</v>
      </c>
      <c r="C40" s="258" t="s">
        <v>43</v>
      </c>
      <c r="D40" s="259" t="s">
        <v>44</v>
      </c>
      <c r="E40" s="257" t="s">
        <v>40</v>
      </c>
      <c r="F40" s="260" t="s">
        <v>41</v>
      </c>
      <c r="G40" s="261" t="s">
        <v>178</v>
      </c>
      <c r="H40" s="102" t="s">
        <v>13</v>
      </c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02"/>
    </row>
    <row r="41" spans="1:21" outlineLevel="2" x14ac:dyDescent="0.2">
      <c r="A41" s="231" t="s">
        <v>495</v>
      </c>
      <c r="B41" s="262" t="s">
        <v>127</v>
      </c>
      <c r="C41" s="262">
        <v>1</v>
      </c>
      <c r="D41" s="262"/>
      <c r="E41" s="262"/>
      <c r="F41" s="263"/>
      <c r="G41" s="262">
        <v>8810</v>
      </c>
      <c r="H41" s="116">
        <v>160000</v>
      </c>
      <c r="I41" s="100">
        <f>IF(I$5&gt;=$C41,$H41/12,0)</f>
        <v>13333.333333333334</v>
      </c>
      <c r="J41" s="100">
        <f t="shared" ref="J41:T42" si="5">IF(J$5&gt;=$C41,$H41/12,0)</f>
        <v>13333.333333333334</v>
      </c>
      <c r="K41" s="100">
        <f t="shared" si="5"/>
        <v>13333.333333333334</v>
      </c>
      <c r="L41" s="100">
        <f t="shared" si="5"/>
        <v>13333.333333333334</v>
      </c>
      <c r="M41" s="100">
        <f t="shared" si="5"/>
        <v>13333.333333333334</v>
      </c>
      <c r="N41" s="100">
        <f t="shared" si="5"/>
        <v>13333.333333333334</v>
      </c>
      <c r="O41" s="100">
        <f t="shared" si="5"/>
        <v>13333.333333333334</v>
      </c>
      <c r="P41" s="100">
        <f t="shared" si="5"/>
        <v>13333.333333333334</v>
      </c>
      <c r="Q41" s="100">
        <f t="shared" si="5"/>
        <v>13333.333333333334</v>
      </c>
      <c r="R41" s="100">
        <f t="shared" si="5"/>
        <v>13333.333333333334</v>
      </c>
      <c r="S41" s="100">
        <f t="shared" si="5"/>
        <v>13333.333333333334</v>
      </c>
      <c r="T41" s="100">
        <f t="shared" si="5"/>
        <v>13333.333333333334</v>
      </c>
      <c r="U41" s="100">
        <f t="shared" ref="U41:U42" si="6">SUM(I41:T41)</f>
        <v>160000</v>
      </c>
    </row>
    <row r="42" spans="1:21" outlineLevel="2" x14ac:dyDescent="0.2">
      <c r="A42" s="231" t="s">
        <v>495</v>
      </c>
      <c r="B42" s="262" t="s">
        <v>127</v>
      </c>
      <c r="C42" s="262">
        <v>1</v>
      </c>
      <c r="D42" s="262"/>
      <c r="E42" s="262"/>
      <c r="F42" s="263"/>
      <c r="G42" s="262">
        <v>8810</v>
      </c>
      <c r="H42" s="116">
        <v>160000</v>
      </c>
      <c r="I42" s="100">
        <f>IF(I$5&gt;=$C42,$H42/12,0)</f>
        <v>13333.333333333334</v>
      </c>
      <c r="J42" s="100">
        <f t="shared" si="5"/>
        <v>13333.333333333334</v>
      </c>
      <c r="K42" s="100">
        <f t="shared" si="5"/>
        <v>13333.333333333334</v>
      </c>
      <c r="L42" s="100">
        <f t="shared" si="5"/>
        <v>13333.333333333334</v>
      </c>
      <c r="M42" s="100">
        <f t="shared" si="5"/>
        <v>13333.333333333334</v>
      </c>
      <c r="N42" s="100">
        <f t="shared" si="5"/>
        <v>13333.333333333334</v>
      </c>
      <c r="O42" s="100">
        <f t="shared" si="5"/>
        <v>13333.333333333334</v>
      </c>
      <c r="P42" s="100">
        <f t="shared" si="5"/>
        <v>13333.333333333334</v>
      </c>
      <c r="Q42" s="100">
        <f t="shared" si="5"/>
        <v>13333.333333333334</v>
      </c>
      <c r="R42" s="100">
        <f t="shared" si="5"/>
        <v>13333.333333333334</v>
      </c>
      <c r="S42" s="100">
        <f t="shared" si="5"/>
        <v>13333.333333333334</v>
      </c>
      <c r="T42" s="100">
        <f t="shared" si="5"/>
        <v>13333.333333333334</v>
      </c>
      <c r="U42" s="100">
        <f t="shared" si="6"/>
        <v>160000</v>
      </c>
    </row>
    <row r="43" spans="1:21" outlineLevel="2" x14ac:dyDescent="0.2">
      <c r="B43" s="262"/>
      <c r="C43" s="262"/>
      <c r="D43" s="262"/>
      <c r="E43" s="262"/>
      <c r="F43" s="263"/>
      <c r="G43" s="262"/>
      <c r="H43" s="116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</row>
    <row r="44" spans="1:21" s="234" customFormat="1" outlineLevel="2" x14ac:dyDescent="0.2">
      <c r="B44" s="264"/>
      <c r="C44" s="264">
        <f>SUBTOTAL(3,C41:C43)</f>
        <v>2</v>
      </c>
      <c r="H44" s="115"/>
      <c r="I44" s="264">
        <f>COUNTIF(I40:I43,"&gt;0")</f>
        <v>2</v>
      </c>
      <c r="J44" s="264">
        <f t="shared" ref="J44:U44" si="7">COUNTIF(J40:J43,"&gt;0")</f>
        <v>2</v>
      </c>
      <c r="K44" s="264">
        <f t="shared" si="7"/>
        <v>2</v>
      </c>
      <c r="L44" s="264">
        <f t="shared" si="7"/>
        <v>2</v>
      </c>
      <c r="M44" s="264">
        <f t="shared" si="7"/>
        <v>2</v>
      </c>
      <c r="N44" s="264">
        <f t="shared" si="7"/>
        <v>2</v>
      </c>
      <c r="O44" s="264">
        <f t="shared" si="7"/>
        <v>2</v>
      </c>
      <c r="P44" s="264">
        <f t="shared" si="7"/>
        <v>2</v>
      </c>
      <c r="Q44" s="264">
        <f t="shared" si="7"/>
        <v>2</v>
      </c>
      <c r="R44" s="264">
        <f t="shared" si="7"/>
        <v>2</v>
      </c>
      <c r="S44" s="264">
        <f t="shared" si="7"/>
        <v>2</v>
      </c>
      <c r="T44" s="264">
        <f t="shared" si="7"/>
        <v>2</v>
      </c>
      <c r="U44" s="264">
        <f t="shared" si="7"/>
        <v>2</v>
      </c>
    </row>
    <row r="45" spans="1:21" s="230" customFormat="1" outlineLevel="1" x14ac:dyDescent="0.2">
      <c r="B45" s="230" t="s">
        <v>130</v>
      </c>
      <c r="I45" s="104">
        <f>SUM(I40:I43)</f>
        <v>26666.666666666668</v>
      </c>
      <c r="J45" s="104">
        <f t="shared" ref="J45:U45" si="8">SUM(J40:J43)</f>
        <v>26666.666666666668</v>
      </c>
      <c r="K45" s="104">
        <f t="shared" si="8"/>
        <v>26666.666666666668</v>
      </c>
      <c r="L45" s="104">
        <f t="shared" si="8"/>
        <v>26666.666666666668</v>
      </c>
      <c r="M45" s="104">
        <f t="shared" si="8"/>
        <v>26666.666666666668</v>
      </c>
      <c r="N45" s="104">
        <f t="shared" si="8"/>
        <v>26666.666666666668</v>
      </c>
      <c r="O45" s="104">
        <f t="shared" si="8"/>
        <v>26666.666666666668</v>
      </c>
      <c r="P45" s="104">
        <f t="shared" si="8"/>
        <v>26666.666666666668</v>
      </c>
      <c r="Q45" s="104">
        <f t="shared" si="8"/>
        <v>26666.666666666668</v>
      </c>
      <c r="R45" s="104">
        <f t="shared" si="8"/>
        <v>26666.666666666668</v>
      </c>
      <c r="S45" s="104">
        <f t="shared" si="8"/>
        <v>26666.666666666668</v>
      </c>
      <c r="T45" s="104">
        <f t="shared" si="8"/>
        <v>26666.666666666668</v>
      </c>
      <c r="U45" s="104">
        <f t="shared" si="8"/>
        <v>320000</v>
      </c>
    </row>
    <row r="46" spans="1:21" outlineLevel="2" x14ac:dyDescent="0.2"/>
    <row r="47" spans="1:21" ht="12.75" customHeight="1" outlineLevel="2" x14ac:dyDescent="0.2">
      <c r="B47" s="254" t="s">
        <v>131</v>
      </c>
      <c r="C47" s="299" t="s">
        <v>34</v>
      </c>
      <c r="D47" s="299"/>
      <c r="E47" s="299" t="s">
        <v>35</v>
      </c>
      <c r="F47" s="299"/>
      <c r="G47" s="256"/>
    </row>
    <row r="48" spans="1:21" outlineLevel="2" x14ac:dyDescent="0.2">
      <c r="B48" s="257" t="s">
        <v>37</v>
      </c>
      <c r="C48" s="258" t="s">
        <v>43</v>
      </c>
      <c r="D48" s="259" t="s">
        <v>44</v>
      </c>
      <c r="E48" s="257" t="s">
        <v>40</v>
      </c>
      <c r="F48" s="260" t="s">
        <v>41</v>
      </c>
      <c r="G48" s="261" t="s">
        <v>178</v>
      </c>
      <c r="H48" s="102" t="s">
        <v>13</v>
      </c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02"/>
    </row>
    <row r="49" spans="1:21" outlineLevel="2" x14ac:dyDescent="0.2">
      <c r="A49" s="231" t="s">
        <v>495</v>
      </c>
      <c r="B49" s="262" t="s">
        <v>169</v>
      </c>
      <c r="C49" s="262">
        <v>1</v>
      </c>
      <c r="D49" s="262"/>
      <c r="E49" s="262"/>
      <c r="F49" s="263"/>
      <c r="G49" s="262">
        <v>8810</v>
      </c>
      <c r="H49" s="116">
        <v>120000</v>
      </c>
      <c r="I49" s="100">
        <f t="shared" ref="I49:T50" si="9">IF(I$5&gt;=$C49,$H49/12,0)</f>
        <v>10000</v>
      </c>
      <c r="J49" s="100">
        <f t="shared" si="9"/>
        <v>10000</v>
      </c>
      <c r="K49" s="100">
        <f t="shared" si="9"/>
        <v>10000</v>
      </c>
      <c r="L49" s="100">
        <f t="shared" si="9"/>
        <v>10000</v>
      </c>
      <c r="M49" s="100">
        <f t="shared" si="9"/>
        <v>10000</v>
      </c>
      <c r="N49" s="100">
        <f t="shared" si="9"/>
        <v>10000</v>
      </c>
      <c r="O49" s="100">
        <f t="shared" si="9"/>
        <v>10000</v>
      </c>
      <c r="P49" s="100">
        <f t="shared" si="9"/>
        <v>10000</v>
      </c>
      <c r="Q49" s="100">
        <f t="shared" si="9"/>
        <v>10000</v>
      </c>
      <c r="R49" s="100">
        <f t="shared" si="9"/>
        <v>10000</v>
      </c>
      <c r="S49" s="100">
        <f t="shared" si="9"/>
        <v>10000</v>
      </c>
      <c r="T49" s="100">
        <f t="shared" si="9"/>
        <v>10000</v>
      </c>
      <c r="U49" s="100">
        <f t="shared" ref="U49" si="10">SUM(I49:T49)</f>
        <v>120000</v>
      </c>
    </row>
    <row r="50" spans="1:21" outlineLevel="2" x14ac:dyDescent="0.2">
      <c r="A50" s="231" t="s">
        <v>495</v>
      </c>
      <c r="B50" s="262" t="s">
        <v>169</v>
      </c>
      <c r="C50" s="262"/>
      <c r="D50" s="262"/>
      <c r="E50" s="262"/>
      <c r="F50" s="263"/>
      <c r="G50" s="262">
        <v>8810</v>
      </c>
      <c r="H50" s="116"/>
      <c r="I50" s="100">
        <f t="shared" si="9"/>
        <v>0</v>
      </c>
      <c r="J50" s="100">
        <f t="shared" si="9"/>
        <v>0</v>
      </c>
      <c r="K50" s="100">
        <f t="shared" si="9"/>
        <v>0</v>
      </c>
      <c r="L50" s="100">
        <f t="shared" si="9"/>
        <v>0</v>
      </c>
      <c r="M50" s="100">
        <f t="shared" si="9"/>
        <v>0</v>
      </c>
      <c r="N50" s="100">
        <f t="shared" si="9"/>
        <v>0</v>
      </c>
      <c r="O50" s="100">
        <f t="shared" si="9"/>
        <v>0</v>
      </c>
      <c r="P50" s="100">
        <f t="shared" si="9"/>
        <v>0</v>
      </c>
      <c r="Q50" s="100">
        <f t="shared" si="9"/>
        <v>0</v>
      </c>
      <c r="R50" s="100">
        <f t="shared" si="9"/>
        <v>0</v>
      </c>
      <c r="S50" s="100">
        <f t="shared" si="9"/>
        <v>0</v>
      </c>
      <c r="T50" s="100">
        <f t="shared" si="9"/>
        <v>0</v>
      </c>
      <c r="U50" s="100">
        <f t="shared" ref="U50" si="11">SUM(I50:T50)</f>
        <v>0</v>
      </c>
    </row>
    <row r="51" spans="1:21" outlineLevel="2" x14ac:dyDescent="0.2">
      <c r="B51" s="262"/>
      <c r="C51" s="262"/>
      <c r="D51" s="262"/>
      <c r="E51" s="262"/>
      <c r="F51" s="263"/>
      <c r="G51" s="262"/>
      <c r="H51" s="116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1:21" s="234" customFormat="1" outlineLevel="2" x14ac:dyDescent="0.2">
      <c r="B52" s="264"/>
      <c r="C52" s="264">
        <f>SUBTOTAL(3,C49:C51)</f>
        <v>1</v>
      </c>
      <c r="H52" s="117"/>
      <c r="I52" s="264">
        <f>COUNTIF(I48:I51,"&gt;0")</f>
        <v>1</v>
      </c>
      <c r="J52" s="264">
        <f t="shared" ref="J52:U52" si="12">COUNTIF(J48:J51,"&gt;0")</f>
        <v>1</v>
      </c>
      <c r="K52" s="264">
        <f t="shared" si="12"/>
        <v>1</v>
      </c>
      <c r="L52" s="264">
        <f t="shared" si="12"/>
        <v>1</v>
      </c>
      <c r="M52" s="264">
        <f t="shared" si="12"/>
        <v>1</v>
      </c>
      <c r="N52" s="264">
        <f t="shared" si="12"/>
        <v>1</v>
      </c>
      <c r="O52" s="264">
        <f t="shared" si="12"/>
        <v>1</v>
      </c>
      <c r="P52" s="264">
        <f t="shared" si="12"/>
        <v>1</v>
      </c>
      <c r="Q52" s="264">
        <f t="shared" si="12"/>
        <v>1</v>
      </c>
      <c r="R52" s="264">
        <f t="shared" si="12"/>
        <v>1</v>
      </c>
      <c r="S52" s="264">
        <f t="shared" si="12"/>
        <v>1</v>
      </c>
      <c r="T52" s="264">
        <f t="shared" si="12"/>
        <v>1</v>
      </c>
      <c r="U52" s="264">
        <f t="shared" si="12"/>
        <v>1</v>
      </c>
    </row>
    <row r="53" spans="1:21" s="230" customFormat="1" outlineLevel="1" x14ac:dyDescent="0.2">
      <c r="B53" s="230" t="s">
        <v>132</v>
      </c>
      <c r="I53" s="104">
        <f t="shared" ref="I53:U53" si="13">SUM(I49:I51)</f>
        <v>10000</v>
      </c>
      <c r="J53" s="104">
        <f t="shared" si="13"/>
        <v>10000</v>
      </c>
      <c r="K53" s="104">
        <f t="shared" si="13"/>
        <v>10000</v>
      </c>
      <c r="L53" s="104">
        <f t="shared" si="13"/>
        <v>10000</v>
      </c>
      <c r="M53" s="104">
        <f t="shared" si="13"/>
        <v>10000</v>
      </c>
      <c r="N53" s="104">
        <f t="shared" si="13"/>
        <v>10000</v>
      </c>
      <c r="O53" s="104">
        <f t="shared" si="13"/>
        <v>10000</v>
      </c>
      <c r="P53" s="104">
        <f t="shared" si="13"/>
        <v>10000</v>
      </c>
      <c r="Q53" s="104">
        <f t="shared" si="13"/>
        <v>10000</v>
      </c>
      <c r="R53" s="104">
        <f t="shared" si="13"/>
        <v>10000</v>
      </c>
      <c r="S53" s="104">
        <f t="shared" si="13"/>
        <v>10000</v>
      </c>
      <c r="T53" s="104">
        <f t="shared" si="13"/>
        <v>10000</v>
      </c>
      <c r="U53" s="104">
        <f t="shared" si="13"/>
        <v>120000</v>
      </c>
    </row>
    <row r="54" spans="1:21" ht="12.75" customHeight="1" outlineLevel="2" x14ac:dyDescent="0.2"/>
    <row r="55" spans="1:21" ht="12.75" customHeight="1" outlineLevel="2" x14ac:dyDescent="0.2">
      <c r="B55" s="254" t="s">
        <v>133</v>
      </c>
      <c r="C55" s="299" t="s">
        <v>34</v>
      </c>
      <c r="D55" s="299"/>
      <c r="E55" s="299" t="s">
        <v>35</v>
      </c>
      <c r="F55" s="299"/>
      <c r="G55" s="256"/>
    </row>
    <row r="56" spans="1:21" outlineLevel="2" x14ac:dyDescent="0.2">
      <c r="B56" s="257" t="s">
        <v>37</v>
      </c>
      <c r="C56" s="258" t="s">
        <v>43</v>
      </c>
      <c r="D56" s="259" t="s">
        <v>44</v>
      </c>
      <c r="E56" s="257" t="s">
        <v>40</v>
      </c>
      <c r="F56" s="260" t="s">
        <v>41</v>
      </c>
      <c r="G56" s="261" t="s">
        <v>179</v>
      </c>
      <c r="H56" s="102" t="s">
        <v>13</v>
      </c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</row>
    <row r="57" spans="1:21" outlineLevel="2" x14ac:dyDescent="0.2">
      <c r="A57" s="231" t="s">
        <v>495</v>
      </c>
      <c r="B57" s="262" t="s">
        <v>272</v>
      </c>
      <c r="C57" s="262">
        <v>1</v>
      </c>
      <c r="D57" s="262"/>
      <c r="E57" s="262"/>
      <c r="F57" s="263"/>
      <c r="G57" s="262">
        <v>8291</v>
      </c>
      <c r="H57" s="116">
        <v>85000</v>
      </c>
      <c r="I57" s="100">
        <f t="shared" ref="I57:T70" si="14">IF(I$5&gt;=$C57,$H57/12,0)</f>
        <v>7083.333333333333</v>
      </c>
      <c r="J57" s="100">
        <f t="shared" si="14"/>
        <v>7083.333333333333</v>
      </c>
      <c r="K57" s="100">
        <f t="shared" si="14"/>
        <v>7083.333333333333</v>
      </c>
      <c r="L57" s="100">
        <f t="shared" si="14"/>
        <v>7083.333333333333</v>
      </c>
      <c r="M57" s="100">
        <f t="shared" si="14"/>
        <v>7083.333333333333</v>
      </c>
      <c r="N57" s="100">
        <f t="shared" si="14"/>
        <v>7083.333333333333</v>
      </c>
      <c r="O57" s="100">
        <f t="shared" si="14"/>
        <v>7083.333333333333</v>
      </c>
      <c r="P57" s="100">
        <f t="shared" si="14"/>
        <v>7083.333333333333</v>
      </c>
      <c r="Q57" s="100">
        <f t="shared" si="14"/>
        <v>7083.333333333333</v>
      </c>
      <c r="R57" s="100">
        <f t="shared" si="14"/>
        <v>7083.333333333333</v>
      </c>
      <c r="S57" s="100">
        <f t="shared" si="14"/>
        <v>7083.333333333333</v>
      </c>
      <c r="T57" s="100">
        <f t="shared" si="14"/>
        <v>7083.333333333333</v>
      </c>
      <c r="U57" s="100">
        <f t="shared" ref="U57:U69" si="15">SUM(I57:T57)</f>
        <v>85000</v>
      </c>
    </row>
    <row r="58" spans="1:21" outlineLevel="2" x14ac:dyDescent="0.2">
      <c r="A58" s="231" t="s">
        <v>495</v>
      </c>
      <c r="B58" s="262" t="s">
        <v>310</v>
      </c>
      <c r="C58" s="262">
        <v>1</v>
      </c>
      <c r="D58" s="262"/>
      <c r="E58" s="262"/>
      <c r="F58" s="263"/>
      <c r="G58" s="262">
        <v>8291</v>
      </c>
      <c r="H58" s="116">
        <v>55000</v>
      </c>
      <c r="I58" s="100">
        <f t="shared" si="14"/>
        <v>4583.333333333333</v>
      </c>
      <c r="J58" s="100">
        <f t="shared" si="14"/>
        <v>4583.333333333333</v>
      </c>
      <c r="K58" s="100">
        <f t="shared" si="14"/>
        <v>4583.333333333333</v>
      </c>
      <c r="L58" s="100">
        <f t="shared" si="14"/>
        <v>4583.333333333333</v>
      </c>
      <c r="M58" s="100">
        <f t="shared" si="14"/>
        <v>4583.333333333333</v>
      </c>
      <c r="N58" s="100">
        <f t="shared" si="14"/>
        <v>4583.333333333333</v>
      </c>
      <c r="O58" s="100">
        <f t="shared" si="14"/>
        <v>4583.333333333333</v>
      </c>
      <c r="P58" s="100">
        <f t="shared" si="14"/>
        <v>4583.333333333333</v>
      </c>
      <c r="Q58" s="100">
        <f t="shared" si="14"/>
        <v>4583.333333333333</v>
      </c>
      <c r="R58" s="100">
        <f t="shared" si="14"/>
        <v>4583.333333333333</v>
      </c>
      <c r="S58" s="100">
        <f t="shared" si="14"/>
        <v>4583.333333333333</v>
      </c>
      <c r="T58" s="100">
        <f t="shared" si="14"/>
        <v>4583.333333333333</v>
      </c>
      <c r="U58" s="100">
        <f t="shared" si="15"/>
        <v>55000.000000000007</v>
      </c>
    </row>
    <row r="59" spans="1:21" outlineLevel="2" x14ac:dyDescent="0.2">
      <c r="A59" s="231" t="s">
        <v>495</v>
      </c>
      <c r="B59" s="262" t="s">
        <v>311</v>
      </c>
      <c r="C59" s="262">
        <v>1</v>
      </c>
      <c r="D59" s="262"/>
      <c r="E59" s="262"/>
      <c r="F59" s="263"/>
      <c r="G59" s="262">
        <v>8291</v>
      </c>
      <c r="H59" s="116">
        <v>55000</v>
      </c>
      <c r="I59" s="100">
        <f t="shared" si="14"/>
        <v>4583.333333333333</v>
      </c>
      <c r="J59" s="100">
        <f t="shared" si="14"/>
        <v>4583.333333333333</v>
      </c>
      <c r="K59" s="100">
        <f t="shared" si="14"/>
        <v>4583.333333333333</v>
      </c>
      <c r="L59" s="100">
        <f t="shared" si="14"/>
        <v>4583.333333333333</v>
      </c>
      <c r="M59" s="100">
        <f t="shared" si="14"/>
        <v>4583.333333333333</v>
      </c>
      <c r="N59" s="100">
        <f t="shared" si="14"/>
        <v>4583.333333333333</v>
      </c>
      <c r="O59" s="100">
        <f t="shared" si="14"/>
        <v>4583.333333333333</v>
      </c>
      <c r="P59" s="100">
        <f t="shared" si="14"/>
        <v>4583.333333333333</v>
      </c>
      <c r="Q59" s="100">
        <f t="shared" si="14"/>
        <v>4583.333333333333</v>
      </c>
      <c r="R59" s="100">
        <f t="shared" si="14"/>
        <v>4583.333333333333</v>
      </c>
      <c r="S59" s="100">
        <f t="shared" si="14"/>
        <v>4583.333333333333</v>
      </c>
      <c r="T59" s="100">
        <f t="shared" si="14"/>
        <v>4583.333333333333</v>
      </c>
      <c r="U59" s="100">
        <f t="shared" si="15"/>
        <v>55000.000000000007</v>
      </c>
    </row>
    <row r="60" spans="1:21" outlineLevel="2" x14ac:dyDescent="0.2">
      <c r="A60" s="231" t="s">
        <v>495</v>
      </c>
      <c r="B60" s="262" t="s">
        <v>312</v>
      </c>
      <c r="C60" s="262">
        <v>1</v>
      </c>
      <c r="D60" s="262"/>
      <c r="E60" s="262"/>
      <c r="F60" s="263"/>
      <c r="G60" s="262">
        <v>8291</v>
      </c>
      <c r="H60" s="116">
        <v>55000</v>
      </c>
      <c r="I60" s="100">
        <f t="shared" si="14"/>
        <v>4583.333333333333</v>
      </c>
      <c r="J60" s="100">
        <f t="shared" si="14"/>
        <v>4583.333333333333</v>
      </c>
      <c r="K60" s="100">
        <f t="shared" si="14"/>
        <v>4583.333333333333</v>
      </c>
      <c r="L60" s="100">
        <f t="shared" si="14"/>
        <v>4583.333333333333</v>
      </c>
      <c r="M60" s="100">
        <f t="shared" si="14"/>
        <v>4583.333333333333</v>
      </c>
      <c r="N60" s="100">
        <f t="shared" si="14"/>
        <v>4583.333333333333</v>
      </c>
      <c r="O60" s="100">
        <f t="shared" si="14"/>
        <v>4583.333333333333</v>
      </c>
      <c r="P60" s="100">
        <f t="shared" si="14"/>
        <v>4583.333333333333</v>
      </c>
      <c r="Q60" s="100">
        <f t="shared" si="14"/>
        <v>4583.333333333333</v>
      </c>
      <c r="R60" s="100">
        <f t="shared" si="14"/>
        <v>4583.333333333333</v>
      </c>
      <c r="S60" s="100">
        <f t="shared" si="14"/>
        <v>4583.333333333333</v>
      </c>
      <c r="T60" s="100">
        <f t="shared" si="14"/>
        <v>4583.333333333333</v>
      </c>
      <c r="U60" s="100">
        <f t="shared" si="15"/>
        <v>55000.000000000007</v>
      </c>
    </row>
    <row r="61" spans="1:21" outlineLevel="2" x14ac:dyDescent="0.2">
      <c r="A61" s="231" t="s">
        <v>495</v>
      </c>
      <c r="B61" s="262" t="s">
        <v>313</v>
      </c>
      <c r="C61" s="262">
        <v>1</v>
      </c>
      <c r="D61" s="262"/>
      <c r="E61" s="262"/>
      <c r="F61" s="263"/>
      <c r="G61" s="262">
        <v>8291</v>
      </c>
      <c r="H61" s="116">
        <v>55000</v>
      </c>
      <c r="I61" s="100">
        <f t="shared" si="14"/>
        <v>4583.333333333333</v>
      </c>
      <c r="J61" s="100">
        <f t="shared" si="14"/>
        <v>4583.333333333333</v>
      </c>
      <c r="K61" s="100">
        <f t="shared" si="14"/>
        <v>4583.333333333333</v>
      </c>
      <c r="L61" s="100">
        <f t="shared" si="14"/>
        <v>4583.333333333333</v>
      </c>
      <c r="M61" s="100">
        <f t="shared" si="14"/>
        <v>4583.333333333333</v>
      </c>
      <c r="N61" s="100">
        <f t="shared" si="14"/>
        <v>4583.333333333333</v>
      </c>
      <c r="O61" s="100">
        <f t="shared" si="14"/>
        <v>4583.333333333333</v>
      </c>
      <c r="P61" s="100">
        <f t="shared" si="14"/>
        <v>4583.333333333333</v>
      </c>
      <c r="Q61" s="100">
        <f t="shared" si="14"/>
        <v>4583.333333333333</v>
      </c>
      <c r="R61" s="100">
        <f t="shared" si="14"/>
        <v>4583.333333333333</v>
      </c>
      <c r="S61" s="100">
        <f t="shared" si="14"/>
        <v>4583.333333333333</v>
      </c>
      <c r="T61" s="100">
        <f t="shared" si="14"/>
        <v>4583.333333333333</v>
      </c>
      <c r="U61" s="100">
        <f t="shared" ref="U61:U62" si="16">SUM(I61:T61)</f>
        <v>55000.000000000007</v>
      </c>
    </row>
    <row r="62" spans="1:21" outlineLevel="2" x14ac:dyDescent="0.2">
      <c r="A62" s="231" t="s">
        <v>495</v>
      </c>
      <c r="B62" s="262" t="s">
        <v>314</v>
      </c>
      <c r="C62" s="262">
        <v>1</v>
      </c>
      <c r="D62" s="262"/>
      <c r="E62" s="262"/>
      <c r="F62" s="263"/>
      <c r="G62" s="262">
        <v>8291</v>
      </c>
      <c r="H62" s="116">
        <v>55000</v>
      </c>
      <c r="I62" s="100">
        <f t="shared" si="14"/>
        <v>4583.333333333333</v>
      </c>
      <c r="J62" s="100">
        <f t="shared" si="14"/>
        <v>4583.333333333333</v>
      </c>
      <c r="K62" s="100">
        <f t="shared" si="14"/>
        <v>4583.333333333333</v>
      </c>
      <c r="L62" s="100">
        <f t="shared" si="14"/>
        <v>4583.333333333333</v>
      </c>
      <c r="M62" s="100">
        <f t="shared" si="14"/>
        <v>4583.333333333333</v>
      </c>
      <c r="N62" s="100">
        <f t="shared" si="14"/>
        <v>4583.333333333333</v>
      </c>
      <c r="O62" s="100">
        <f t="shared" si="14"/>
        <v>4583.333333333333</v>
      </c>
      <c r="P62" s="100">
        <f t="shared" si="14"/>
        <v>4583.333333333333</v>
      </c>
      <c r="Q62" s="100">
        <f t="shared" si="14"/>
        <v>4583.333333333333</v>
      </c>
      <c r="R62" s="100">
        <f t="shared" si="14"/>
        <v>4583.333333333333</v>
      </c>
      <c r="S62" s="100">
        <f t="shared" si="14"/>
        <v>4583.333333333333</v>
      </c>
      <c r="T62" s="100">
        <f t="shared" si="14"/>
        <v>4583.333333333333</v>
      </c>
      <c r="U62" s="100">
        <f t="shared" si="16"/>
        <v>55000.000000000007</v>
      </c>
    </row>
    <row r="63" spans="1:21" outlineLevel="2" x14ac:dyDescent="0.2">
      <c r="A63" s="231" t="s">
        <v>495</v>
      </c>
      <c r="B63" s="262" t="s">
        <v>315</v>
      </c>
      <c r="C63" s="262">
        <v>3</v>
      </c>
      <c r="D63" s="262"/>
      <c r="E63" s="262"/>
      <c r="F63" s="263"/>
      <c r="G63" s="262">
        <v>8291</v>
      </c>
      <c r="H63" s="116">
        <v>55000</v>
      </c>
      <c r="I63" s="100">
        <f t="shared" si="14"/>
        <v>0</v>
      </c>
      <c r="J63" s="100">
        <f t="shared" si="14"/>
        <v>0</v>
      </c>
      <c r="K63" s="100">
        <f t="shared" si="14"/>
        <v>4583.333333333333</v>
      </c>
      <c r="L63" s="100">
        <f t="shared" si="14"/>
        <v>4583.333333333333</v>
      </c>
      <c r="M63" s="100">
        <f t="shared" si="14"/>
        <v>4583.333333333333</v>
      </c>
      <c r="N63" s="100">
        <f t="shared" si="14"/>
        <v>4583.333333333333</v>
      </c>
      <c r="O63" s="100">
        <f t="shared" si="14"/>
        <v>4583.333333333333</v>
      </c>
      <c r="P63" s="100">
        <f t="shared" si="14"/>
        <v>4583.333333333333</v>
      </c>
      <c r="Q63" s="100">
        <f t="shared" si="14"/>
        <v>4583.333333333333</v>
      </c>
      <c r="R63" s="100">
        <f t="shared" si="14"/>
        <v>4583.333333333333</v>
      </c>
      <c r="S63" s="100">
        <f t="shared" si="14"/>
        <v>4583.333333333333</v>
      </c>
      <c r="T63" s="100">
        <f t="shared" si="14"/>
        <v>4583.333333333333</v>
      </c>
      <c r="U63" s="100">
        <f t="shared" si="15"/>
        <v>45833.333333333336</v>
      </c>
    </row>
    <row r="64" spans="1:21" outlineLevel="2" x14ac:dyDescent="0.2">
      <c r="A64" s="231" t="s">
        <v>495</v>
      </c>
      <c r="B64" s="262" t="s">
        <v>316</v>
      </c>
      <c r="C64" s="262">
        <v>4</v>
      </c>
      <c r="D64" s="262"/>
      <c r="E64" s="262"/>
      <c r="F64" s="263"/>
      <c r="G64" s="262">
        <v>8291</v>
      </c>
      <c r="H64" s="116">
        <v>55000</v>
      </c>
      <c r="I64" s="100">
        <f t="shared" si="14"/>
        <v>0</v>
      </c>
      <c r="J64" s="100">
        <f t="shared" si="14"/>
        <v>0</v>
      </c>
      <c r="K64" s="100">
        <f t="shared" si="14"/>
        <v>0</v>
      </c>
      <c r="L64" s="100">
        <f t="shared" si="14"/>
        <v>4583.333333333333</v>
      </c>
      <c r="M64" s="100">
        <f t="shared" si="14"/>
        <v>4583.333333333333</v>
      </c>
      <c r="N64" s="100">
        <f t="shared" si="14"/>
        <v>4583.333333333333</v>
      </c>
      <c r="O64" s="100">
        <f t="shared" si="14"/>
        <v>4583.333333333333</v>
      </c>
      <c r="P64" s="100">
        <f t="shared" si="14"/>
        <v>4583.333333333333</v>
      </c>
      <c r="Q64" s="100">
        <f t="shared" si="14"/>
        <v>4583.333333333333</v>
      </c>
      <c r="R64" s="100">
        <f t="shared" si="14"/>
        <v>4583.333333333333</v>
      </c>
      <c r="S64" s="100">
        <f t="shared" si="14"/>
        <v>4583.333333333333</v>
      </c>
      <c r="T64" s="100">
        <f t="shared" si="14"/>
        <v>4583.333333333333</v>
      </c>
      <c r="U64" s="100">
        <f t="shared" si="15"/>
        <v>41250</v>
      </c>
    </row>
    <row r="65" spans="1:21" outlineLevel="2" x14ac:dyDescent="0.2">
      <c r="A65" s="231" t="s">
        <v>495</v>
      </c>
      <c r="B65" s="262" t="s">
        <v>317</v>
      </c>
      <c r="C65" s="262">
        <v>6</v>
      </c>
      <c r="D65" s="262"/>
      <c r="E65" s="262"/>
      <c r="F65" s="263"/>
      <c r="G65" s="262">
        <v>8291</v>
      </c>
      <c r="H65" s="116">
        <v>55000</v>
      </c>
      <c r="I65" s="100">
        <f t="shared" si="14"/>
        <v>0</v>
      </c>
      <c r="J65" s="100">
        <f t="shared" si="14"/>
        <v>0</v>
      </c>
      <c r="K65" s="100">
        <f t="shared" si="14"/>
        <v>0</v>
      </c>
      <c r="L65" s="100">
        <f t="shared" si="14"/>
        <v>0</v>
      </c>
      <c r="M65" s="100">
        <f t="shared" si="14"/>
        <v>0</v>
      </c>
      <c r="N65" s="100">
        <f t="shared" si="14"/>
        <v>4583.333333333333</v>
      </c>
      <c r="O65" s="100">
        <f t="shared" si="14"/>
        <v>4583.333333333333</v>
      </c>
      <c r="P65" s="100">
        <f t="shared" si="14"/>
        <v>4583.333333333333</v>
      </c>
      <c r="Q65" s="100">
        <f t="shared" si="14"/>
        <v>4583.333333333333</v>
      </c>
      <c r="R65" s="100">
        <f t="shared" si="14"/>
        <v>4583.333333333333</v>
      </c>
      <c r="S65" s="100">
        <f t="shared" si="14"/>
        <v>4583.333333333333</v>
      </c>
      <c r="T65" s="100">
        <f t="shared" si="14"/>
        <v>4583.333333333333</v>
      </c>
      <c r="U65" s="100">
        <f t="shared" si="15"/>
        <v>32083.333333333328</v>
      </c>
    </row>
    <row r="66" spans="1:21" outlineLevel="2" x14ac:dyDescent="0.2">
      <c r="A66" s="231" t="s">
        <v>495</v>
      </c>
      <c r="B66" s="262" t="s">
        <v>318</v>
      </c>
      <c r="C66" s="262">
        <v>6</v>
      </c>
      <c r="D66" s="262"/>
      <c r="E66" s="262"/>
      <c r="F66" s="263"/>
      <c r="G66" s="262">
        <v>8291</v>
      </c>
      <c r="H66" s="116">
        <v>55000</v>
      </c>
      <c r="I66" s="100">
        <f t="shared" si="14"/>
        <v>0</v>
      </c>
      <c r="J66" s="100">
        <f t="shared" si="14"/>
        <v>0</v>
      </c>
      <c r="K66" s="100">
        <f t="shared" si="14"/>
        <v>0</v>
      </c>
      <c r="L66" s="100">
        <f t="shared" si="14"/>
        <v>0</v>
      </c>
      <c r="M66" s="100">
        <f t="shared" si="14"/>
        <v>0</v>
      </c>
      <c r="N66" s="100">
        <f t="shared" si="14"/>
        <v>4583.333333333333</v>
      </c>
      <c r="O66" s="100">
        <f t="shared" si="14"/>
        <v>4583.333333333333</v>
      </c>
      <c r="P66" s="100">
        <f t="shared" si="14"/>
        <v>4583.333333333333</v>
      </c>
      <c r="Q66" s="100">
        <f t="shared" si="14"/>
        <v>4583.333333333333</v>
      </c>
      <c r="R66" s="100">
        <f t="shared" si="14"/>
        <v>4583.333333333333</v>
      </c>
      <c r="S66" s="100">
        <f t="shared" si="14"/>
        <v>4583.333333333333</v>
      </c>
      <c r="T66" s="100">
        <f t="shared" si="14"/>
        <v>4583.333333333333</v>
      </c>
      <c r="U66" s="100">
        <f t="shared" ref="U66" si="17">SUM(I66:T66)</f>
        <v>32083.333333333328</v>
      </c>
    </row>
    <row r="67" spans="1:21" outlineLevel="2" x14ac:dyDescent="0.2">
      <c r="A67" s="231" t="s">
        <v>495</v>
      </c>
      <c r="B67" s="262" t="s">
        <v>319</v>
      </c>
      <c r="C67" s="262">
        <v>8</v>
      </c>
      <c r="D67" s="262"/>
      <c r="E67" s="262"/>
      <c r="F67" s="263"/>
      <c r="G67" s="262">
        <v>8291</v>
      </c>
      <c r="H67" s="116">
        <v>55000</v>
      </c>
      <c r="I67" s="100">
        <f t="shared" si="14"/>
        <v>0</v>
      </c>
      <c r="J67" s="100">
        <f t="shared" si="14"/>
        <v>0</v>
      </c>
      <c r="K67" s="100">
        <f t="shared" si="14"/>
        <v>0</v>
      </c>
      <c r="L67" s="100">
        <f t="shared" si="14"/>
        <v>0</v>
      </c>
      <c r="M67" s="100">
        <f t="shared" si="14"/>
        <v>0</v>
      </c>
      <c r="N67" s="100">
        <f t="shared" si="14"/>
        <v>0</v>
      </c>
      <c r="O67" s="100">
        <f t="shared" si="14"/>
        <v>0</v>
      </c>
      <c r="P67" s="100">
        <f t="shared" si="14"/>
        <v>4583.333333333333</v>
      </c>
      <c r="Q67" s="100">
        <f t="shared" si="14"/>
        <v>4583.333333333333</v>
      </c>
      <c r="R67" s="100">
        <f t="shared" si="14"/>
        <v>4583.333333333333</v>
      </c>
      <c r="S67" s="100">
        <f t="shared" si="14"/>
        <v>4583.333333333333</v>
      </c>
      <c r="T67" s="100">
        <f t="shared" si="14"/>
        <v>4583.333333333333</v>
      </c>
      <c r="U67" s="100">
        <f t="shared" si="15"/>
        <v>22916.666666666664</v>
      </c>
    </row>
    <row r="68" spans="1:21" outlineLevel="2" x14ac:dyDescent="0.2">
      <c r="A68" s="231" t="s">
        <v>495</v>
      </c>
      <c r="B68" s="262" t="s">
        <v>320</v>
      </c>
      <c r="C68" s="262">
        <v>8</v>
      </c>
      <c r="D68" s="262"/>
      <c r="E68" s="262"/>
      <c r="F68" s="263"/>
      <c r="G68" s="262">
        <v>8291</v>
      </c>
      <c r="H68" s="116">
        <v>55000</v>
      </c>
      <c r="I68" s="100">
        <f t="shared" si="14"/>
        <v>0</v>
      </c>
      <c r="J68" s="100">
        <f t="shared" si="14"/>
        <v>0</v>
      </c>
      <c r="K68" s="100">
        <f t="shared" si="14"/>
        <v>0</v>
      </c>
      <c r="L68" s="100">
        <f t="shared" si="14"/>
        <v>0</v>
      </c>
      <c r="M68" s="100">
        <f t="shared" si="14"/>
        <v>0</v>
      </c>
      <c r="N68" s="100">
        <f t="shared" si="14"/>
        <v>0</v>
      </c>
      <c r="O68" s="100">
        <f t="shared" si="14"/>
        <v>0</v>
      </c>
      <c r="P68" s="100">
        <f t="shared" si="14"/>
        <v>4583.333333333333</v>
      </c>
      <c r="Q68" s="100">
        <f t="shared" si="14"/>
        <v>4583.333333333333</v>
      </c>
      <c r="R68" s="100">
        <f t="shared" si="14"/>
        <v>4583.333333333333</v>
      </c>
      <c r="S68" s="100">
        <f t="shared" si="14"/>
        <v>4583.333333333333</v>
      </c>
      <c r="T68" s="100">
        <f t="shared" si="14"/>
        <v>4583.333333333333</v>
      </c>
      <c r="U68" s="100">
        <f t="shared" si="15"/>
        <v>22916.666666666664</v>
      </c>
    </row>
    <row r="69" spans="1:21" outlineLevel="2" x14ac:dyDescent="0.2">
      <c r="A69" s="231" t="s">
        <v>495</v>
      </c>
      <c r="B69" s="262" t="s">
        <v>321</v>
      </c>
      <c r="C69" s="262">
        <v>10</v>
      </c>
      <c r="D69" s="262"/>
      <c r="E69" s="262"/>
      <c r="F69" s="263"/>
      <c r="G69" s="262">
        <v>8291</v>
      </c>
      <c r="H69" s="116">
        <v>55000</v>
      </c>
      <c r="I69" s="100">
        <f t="shared" si="14"/>
        <v>0</v>
      </c>
      <c r="J69" s="100">
        <f t="shared" si="14"/>
        <v>0</v>
      </c>
      <c r="K69" s="100">
        <f t="shared" si="14"/>
        <v>0</v>
      </c>
      <c r="L69" s="100">
        <f t="shared" si="14"/>
        <v>0</v>
      </c>
      <c r="M69" s="100">
        <f t="shared" si="14"/>
        <v>0</v>
      </c>
      <c r="N69" s="100">
        <f t="shared" si="14"/>
        <v>0</v>
      </c>
      <c r="O69" s="100">
        <f t="shared" si="14"/>
        <v>0</v>
      </c>
      <c r="P69" s="100">
        <f t="shared" si="14"/>
        <v>0</v>
      </c>
      <c r="Q69" s="100">
        <f t="shared" si="14"/>
        <v>0</v>
      </c>
      <c r="R69" s="100">
        <f t="shared" si="14"/>
        <v>4583.333333333333</v>
      </c>
      <c r="S69" s="100">
        <f t="shared" si="14"/>
        <v>4583.333333333333</v>
      </c>
      <c r="T69" s="100">
        <f t="shared" si="14"/>
        <v>4583.333333333333</v>
      </c>
      <c r="U69" s="100">
        <f t="shared" si="15"/>
        <v>13750</v>
      </c>
    </row>
    <row r="70" spans="1:21" outlineLevel="2" x14ac:dyDescent="0.2">
      <c r="A70" s="231" t="s">
        <v>495</v>
      </c>
      <c r="B70" s="262" t="s">
        <v>322</v>
      </c>
      <c r="C70" s="262">
        <v>10</v>
      </c>
      <c r="D70" s="262"/>
      <c r="E70" s="262"/>
      <c r="F70" s="263"/>
      <c r="G70" s="262">
        <v>8291</v>
      </c>
      <c r="H70" s="116">
        <v>55000</v>
      </c>
      <c r="I70" s="100">
        <f t="shared" si="14"/>
        <v>0</v>
      </c>
      <c r="J70" s="100">
        <f t="shared" si="14"/>
        <v>0</v>
      </c>
      <c r="K70" s="100">
        <f t="shared" si="14"/>
        <v>0</v>
      </c>
      <c r="L70" s="100">
        <f t="shared" si="14"/>
        <v>0</v>
      </c>
      <c r="M70" s="100">
        <f t="shared" si="14"/>
        <v>0</v>
      </c>
      <c r="N70" s="100">
        <f t="shared" si="14"/>
        <v>0</v>
      </c>
      <c r="O70" s="100">
        <f t="shared" si="14"/>
        <v>0</v>
      </c>
      <c r="P70" s="100">
        <f t="shared" si="14"/>
        <v>0</v>
      </c>
      <c r="Q70" s="100">
        <f t="shared" si="14"/>
        <v>0</v>
      </c>
      <c r="R70" s="100">
        <f t="shared" si="14"/>
        <v>4583.333333333333</v>
      </c>
      <c r="S70" s="100">
        <f t="shared" si="14"/>
        <v>4583.333333333333</v>
      </c>
      <c r="T70" s="100">
        <f t="shared" si="14"/>
        <v>4583.333333333333</v>
      </c>
      <c r="U70" s="100">
        <f t="shared" ref="U70" si="18">SUM(I70:T70)</f>
        <v>13750</v>
      </c>
    </row>
    <row r="71" spans="1:21" outlineLevel="2" x14ac:dyDescent="0.2">
      <c r="B71" s="262"/>
      <c r="C71" s="262"/>
      <c r="D71" s="262"/>
      <c r="E71" s="262"/>
      <c r="F71" s="263"/>
      <c r="G71" s="262"/>
      <c r="H71" s="116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</row>
    <row r="72" spans="1:21" s="225" customFormat="1" ht="12.75" outlineLevel="2" x14ac:dyDescent="0.2">
      <c r="B72" s="264"/>
      <c r="C72" s="264">
        <f>SUBTOTAL(3,C57:C71)</f>
        <v>14</v>
      </c>
      <c r="D72" s="234"/>
      <c r="E72" s="234"/>
      <c r="F72" s="234"/>
      <c r="G72" s="234"/>
      <c r="H72" s="118"/>
      <c r="I72" s="264">
        <f>COUNTIF(I56:I71,"&gt;0")</f>
        <v>6</v>
      </c>
      <c r="J72" s="264">
        <f t="shared" ref="J72:U72" si="19">COUNTIF(J56:J71,"&gt;0")</f>
        <v>6</v>
      </c>
      <c r="K72" s="264">
        <f t="shared" si="19"/>
        <v>7</v>
      </c>
      <c r="L72" s="264">
        <f t="shared" si="19"/>
        <v>8</v>
      </c>
      <c r="M72" s="264">
        <f t="shared" si="19"/>
        <v>8</v>
      </c>
      <c r="N72" s="264">
        <f t="shared" si="19"/>
        <v>10</v>
      </c>
      <c r="O72" s="264">
        <f t="shared" si="19"/>
        <v>10</v>
      </c>
      <c r="P72" s="264">
        <f t="shared" si="19"/>
        <v>12</v>
      </c>
      <c r="Q72" s="264">
        <f t="shared" si="19"/>
        <v>12</v>
      </c>
      <c r="R72" s="264">
        <f t="shared" si="19"/>
        <v>14</v>
      </c>
      <c r="S72" s="264">
        <f t="shared" si="19"/>
        <v>14</v>
      </c>
      <c r="T72" s="264">
        <f t="shared" si="19"/>
        <v>14</v>
      </c>
      <c r="U72" s="264">
        <f t="shared" si="19"/>
        <v>14</v>
      </c>
    </row>
    <row r="73" spans="1:21" s="230" customFormat="1" outlineLevel="1" x14ac:dyDescent="0.2">
      <c r="B73" s="230" t="s">
        <v>134</v>
      </c>
      <c r="H73" s="101"/>
      <c r="I73" s="104">
        <f>SUM(I57:I71)</f>
        <v>29999.999999999996</v>
      </c>
      <c r="J73" s="104">
        <f t="shared" ref="J73:U73" si="20">SUM(J57:J71)</f>
        <v>29999.999999999996</v>
      </c>
      <c r="K73" s="104">
        <f t="shared" si="20"/>
        <v>34583.333333333328</v>
      </c>
      <c r="L73" s="104">
        <f t="shared" si="20"/>
        <v>39166.666666666664</v>
      </c>
      <c r="M73" s="104">
        <f t="shared" si="20"/>
        <v>39166.666666666664</v>
      </c>
      <c r="N73" s="104">
        <f t="shared" si="20"/>
        <v>48333.333333333336</v>
      </c>
      <c r="O73" s="104">
        <f t="shared" si="20"/>
        <v>48333.333333333336</v>
      </c>
      <c r="P73" s="104">
        <f t="shared" si="20"/>
        <v>57500.000000000007</v>
      </c>
      <c r="Q73" s="104">
        <f t="shared" si="20"/>
        <v>57500.000000000007</v>
      </c>
      <c r="R73" s="104">
        <f t="shared" si="20"/>
        <v>66666.666666666672</v>
      </c>
      <c r="S73" s="104">
        <f t="shared" si="20"/>
        <v>66666.666666666672</v>
      </c>
      <c r="T73" s="104">
        <f t="shared" si="20"/>
        <v>66666.666666666672</v>
      </c>
      <c r="U73" s="104">
        <f t="shared" si="20"/>
        <v>584583.33333333326</v>
      </c>
    </row>
    <row r="74" spans="1:21" ht="12.75" customHeight="1" outlineLevel="2" x14ac:dyDescent="0.2">
      <c r="B74" s="254"/>
      <c r="C74" s="254"/>
      <c r="D74" s="254"/>
      <c r="E74" s="254"/>
      <c r="F74" s="254"/>
      <c r="G74" s="254"/>
    </row>
    <row r="75" spans="1:21" outlineLevel="2" x14ac:dyDescent="0.2">
      <c r="B75" s="254" t="s">
        <v>135</v>
      </c>
      <c r="C75" s="299" t="s">
        <v>34</v>
      </c>
      <c r="D75" s="299"/>
      <c r="E75" s="299" t="s">
        <v>35</v>
      </c>
      <c r="F75" s="299"/>
      <c r="G75" s="256"/>
    </row>
    <row r="76" spans="1:21" outlineLevel="2" x14ac:dyDescent="0.2">
      <c r="B76" s="257" t="s">
        <v>37</v>
      </c>
      <c r="C76" s="258" t="s">
        <v>43</v>
      </c>
      <c r="D76" s="259" t="s">
        <v>44</v>
      </c>
      <c r="E76" s="257" t="s">
        <v>40</v>
      </c>
      <c r="F76" s="260" t="s">
        <v>41</v>
      </c>
      <c r="G76" s="261" t="s">
        <v>179</v>
      </c>
      <c r="H76" s="102" t="s">
        <v>13</v>
      </c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</row>
    <row r="77" spans="1:21" outlineLevel="2" x14ac:dyDescent="0.2">
      <c r="A77" s="231" t="s">
        <v>495</v>
      </c>
      <c r="B77" s="262" t="s">
        <v>135</v>
      </c>
      <c r="C77" s="262">
        <v>1</v>
      </c>
      <c r="D77" s="262"/>
      <c r="E77" s="262"/>
      <c r="F77" s="263"/>
      <c r="G77" s="262">
        <v>8291</v>
      </c>
      <c r="H77" s="116">
        <v>125000</v>
      </c>
      <c r="I77" s="100">
        <f t="shared" ref="I77:T87" si="21">IF(I$5&gt;=$C77,$H77/12,0)</f>
        <v>10416.666666666666</v>
      </c>
      <c r="J77" s="100">
        <f t="shared" si="21"/>
        <v>10416.666666666666</v>
      </c>
      <c r="K77" s="100">
        <f t="shared" si="21"/>
        <v>10416.666666666666</v>
      </c>
      <c r="L77" s="100">
        <f t="shared" si="21"/>
        <v>10416.666666666666</v>
      </c>
      <c r="M77" s="100">
        <f t="shared" si="21"/>
        <v>10416.666666666666</v>
      </c>
      <c r="N77" s="100">
        <f t="shared" si="21"/>
        <v>10416.666666666666</v>
      </c>
      <c r="O77" s="100">
        <f t="shared" si="21"/>
        <v>10416.666666666666</v>
      </c>
      <c r="P77" s="100">
        <f t="shared" si="21"/>
        <v>10416.666666666666</v>
      </c>
      <c r="Q77" s="100">
        <f t="shared" si="21"/>
        <v>10416.666666666666</v>
      </c>
      <c r="R77" s="100">
        <f t="shared" si="21"/>
        <v>10416.666666666666</v>
      </c>
      <c r="S77" s="100">
        <f t="shared" si="21"/>
        <v>10416.666666666666</v>
      </c>
      <c r="T77" s="100">
        <f t="shared" si="21"/>
        <v>10416.666666666666</v>
      </c>
      <c r="U77" s="100">
        <f t="shared" ref="U77:U85" si="22">SUM(I77:T77)</f>
        <v>125000.00000000001</v>
      </c>
    </row>
    <row r="78" spans="1:21" outlineLevel="2" x14ac:dyDescent="0.2">
      <c r="A78" s="231" t="s">
        <v>495</v>
      </c>
      <c r="B78" s="262" t="s">
        <v>135</v>
      </c>
      <c r="C78" s="262">
        <v>1</v>
      </c>
      <c r="D78" s="262"/>
      <c r="E78" s="262"/>
      <c r="F78" s="263"/>
      <c r="G78" s="262">
        <v>8291</v>
      </c>
      <c r="H78" s="116">
        <v>125000</v>
      </c>
      <c r="I78" s="100">
        <f t="shared" si="21"/>
        <v>10416.666666666666</v>
      </c>
      <c r="J78" s="100">
        <f t="shared" si="21"/>
        <v>10416.666666666666</v>
      </c>
      <c r="K78" s="100">
        <f t="shared" si="21"/>
        <v>10416.666666666666</v>
      </c>
      <c r="L78" s="100">
        <f t="shared" si="21"/>
        <v>10416.666666666666</v>
      </c>
      <c r="M78" s="100">
        <f t="shared" si="21"/>
        <v>10416.666666666666</v>
      </c>
      <c r="N78" s="100">
        <f t="shared" si="21"/>
        <v>10416.666666666666</v>
      </c>
      <c r="O78" s="100">
        <f t="shared" si="21"/>
        <v>10416.666666666666</v>
      </c>
      <c r="P78" s="100">
        <f t="shared" si="21"/>
        <v>10416.666666666666</v>
      </c>
      <c r="Q78" s="100">
        <f t="shared" si="21"/>
        <v>10416.666666666666</v>
      </c>
      <c r="R78" s="100">
        <f t="shared" si="21"/>
        <v>10416.666666666666</v>
      </c>
      <c r="S78" s="100">
        <f t="shared" si="21"/>
        <v>10416.666666666666</v>
      </c>
      <c r="T78" s="100">
        <f t="shared" si="21"/>
        <v>10416.666666666666</v>
      </c>
      <c r="U78" s="100">
        <f t="shared" ref="U78:U83" si="23">SUM(I78:T78)</f>
        <v>125000.00000000001</v>
      </c>
    </row>
    <row r="79" spans="1:21" outlineLevel="2" x14ac:dyDescent="0.2">
      <c r="A79" s="231" t="s">
        <v>495</v>
      </c>
      <c r="B79" s="262" t="s">
        <v>175</v>
      </c>
      <c r="C79" s="262">
        <v>1</v>
      </c>
      <c r="D79" s="262"/>
      <c r="E79" s="262"/>
      <c r="F79" s="263"/>
      <c r="G79" s="262">
        <v>9015</v>
      </c>
      <c r="H79" s="116">
        <v>60000</v>
      </c>
      <c r="I79" s="100">
        <f t="shared" si="21"/>
        <v>5000</v>
      </c>
      <c r="J79" s="100">
        <f t="shared" si="21"/>
        <v>5000</v>
      </c>
      <c r="K79" s="100">
        <f t="shared" si="21"/>
        <v>5000</v>
      </c>
      <c r="L79" s="100">
        <f t="shared" si="21"/>
        <v>5000</v>
      </c>
      <c r="M79" s="100">
        <f t="shared" si="21"/>
        <v>5000</v>
      </c>
      <c r="N79" s="100">
        <f t="shared" si="21"/>
        <v>5000</v>
      </c>
      <c r="O79" s="100">
        <f t="shared" si="21"/>
        <v>5000</v>
      </c>
      <c r="P79" s="100">
        <f t="shared" si="21"/>
        <v>5000</v>
      </c>
      <c r="Q79" s="100">
        <f t="shared" si="21"/>
        <v>5000</v>
      </c>
      <c r="R79" s="100">
        <f t="shared" si="21"/>
        <v>5000</v>
      </c>
      <c r="S79" s="100">
        <f t="shared" si="21"/>
        <v>5000</v>
      </c>
      <c r="T79" s="100">
        <f t="shared" si="21"/>
        <v>5000</v>
      </c>
      <c r="U79" s="100">
        <f t="shared" si="23"/>
        <v>60000</v>
      </c>
    </row>
    <row r="80" spans="1:21" outlineLevel="2" x14ac:dyDescent="0.2">
      <c r="A80" s="231" t="s">
        <v>495</v>
      </c>
      <c r="B80" s="262" t="s">
        <v>323</v>
      </c>
      <c r="C80" s="262">
        <v>6</v>
      </c>
      <c r="D80" s="262"/>
      <c r="E80" s="262"/>
      <c r="F80" s="263"/>
      <c r="G80" s="262">
        <v>8810</v>
      </c>
      <c r="H80" s="116">
        <v>150000</v>
      </c>
      <c r="I80" s="100">
        <f t="shared" si="21"/>
        <v>0</v>
      </c>
      <c r="J80" s="100">
        <f t="shared" si="21"/>
        <v>0</v>
      </c>
      <c r="K80" s="100">
        <f t="shared" si="21"/>
        <v>0</v>
      </c>
      <c r="L80" s="100">
        <f t="shared" si="21"/>
        <v>0</v>
      </c>
      <c r="M80" s="100">
        <f t="shared" si="21"/>
        <v>0</v>
      </c>
      <c r="N80" s="100">
        <f t="shared" si="21"/>
        <v>12500</v>
      </c>
      <c r="O80" s="100">
        <f t="shared" si="21"/>
        <v>12500</v>
      </c>
      <c r="P80" s="100">
        <f t="shared" si="21"/>
        <v>12500</v>
      </c>
      <c r="Q80" s="100">
        <f t="shared" si="21"/>
        <v>12500</v>
      </c>
      <c r="R80" s="100">
        <f t="shared" si="21"/>
        <v>12500</v>
      </c>
      <c r="S80" s="100">
        <f t="shared" si="21"/>
        <v>12500</v>
      </c>
      <c r="T80" s="100">
        <f t="shared" si="21"/>
        <v>12500</v>
      </c>
      <c r="U80" s="100">
        <f t="shared" si="23"/>
        <v>87500</v>
      </c>
    </row>
    <row r="81" spans="1:21" outlineLevel="2" x14ac:dyDescent="0.2">
      <c r="A81" s="231" t="s">
        <v>495</v>
      </c>
      <c r="B81" s="262" t="s">
        <v>324</v>
      </c>
      <c r="C81" s="262">
        <v>6</v>
      </c>
      <c r="D81" s="262"/>
      <c r="E81" s="262"/>
      <c r="F81" s="263"/>
      <c r="G81" s="262">
        <v>8810</v>
      </c>
      <c r="H81" s="116">
        <v>150000</v>
      </c>
      <c r="I81" s="100">
        <f t="shared" si="21"/>
        <v>0</v>
      </c>
      <c r="J81" s="100">
        <f t="shared" si="21"/>
        <v>0</v>
      </c>
      <c r="K81" s="100">
        <f t="shared" si="21"/>
        <v>0</v>
      </c>
      <c r="L81" s="100">
        <f t="shared" si="21"/>
        <v>0</v>
      </c>
      <c r="M81" s="100">
        <f t="shared" si="21"/>
        <v>0</v>
      </c>
      <c r="N81" s="100">
        <f t="shared" si="21"/>
        <v>12500</v>
      </c>
      <c r="O81" s="100">
        <f t="shared" si="21"/>
        <v>12500</v>
      </c>
      <c r="P81" s="100">
        <f t="shared" si="21"/>
        <v>12500</v>
      </c>
      <c r="Q81" s="100">
        <f t="shared" si="21"/>
        <v>12500</v>
      </c>
      <c r="R81" s="100">
        <f t="shared" si="21"/>
        <v>12500</v>
      </c>
      <c r="S81" s="100">
        <f t="shared" si="21"/>
        <v>12500</v>
      </c>
      <c r="T81" s="100">
        <f t="shared" si="21"/>
        <v>12500</v>
      </c>
      <c r="U81" s="100">
        <f t="shared" si="23"/>
        <v>87500</v>
      </c>
    </row>
    <row r="82" spans="1:21" outlineLevel="2" x14ac:dyDescent="0.2">
      <c r="A82" s="231" t="s">
        <v>495</v>
      </c>
      <c r="B82" s="262" t="s">
        <v>325</v>
      </c>
      <c r="C82" s="262">
        <v>6</v>
      </c>
      <c r="D82" s="262"/>
      <c r="E82" s="262"/>
      <c r="F82" s="263"/>
      <c r="G82" s="262">
        <v>8810</v>
      </c>
      <c r="H82" s="116">
        <v>150000</v>
      </c>
      <c r="I82" s="100">
        <f t="shared" si="21"/>
        <v>0</v>
      </c>
      <c r="J82" s="100">
        <f t="shared" si="21"/>
        <v>0</v>
      </c>
      <c r="K82" s="100">
        <f t="shared" si="21"/>
        <v>0</v>
      </c>
      <c r="L82" s="100">
        <f t="shared" si="21"/>
        <v>0</v>
      </c>
      <c r="M82" s="100">
        <f t="shared" si="21"/>
        <v>0</v>
      </c>
      <c r="N82" s="100">
        <f t="shared" si="21"/>
        <v>12500</v>
      </c>
      <c r="O82" s="100">
        <f t="shared" si="21"/>
        <v>12500</v>
      </c>
      <c r="P82" s="100">
        <f t="shared" si="21"/>
        <v>12500</v>
      </c>
      <c r="Q82" s="100">
        <f t="shared" si="21"/>
        <v>12500</v>
      </c>
      <c r="R82" s="100">
        <f t="shared" si="21"/>
        <v>12500</v>
      </c>
      <c r="S82" s="100">
        <f t="shared" si="21"/>
        <v>12500</v>
      </c>
      <c r="T82" s="100">
        <f t="shared" si="21"/>
        <v>12500</v>
      </c>
      <c r="U82" s="100">
        <f t="shared" si="23"/>
        <v>87500</v>
      </c>
    </row>
    <row r="83" spans="1:21" outlineLevel="2" x14ac:dyDescent="0.2">
      <c r="A83" s="231" t="s">
        <v>495</v>
      </c>
      <c r="B83" s="262" t="s">
        <v>326</v>
      </c>
      <c r="C83" s="262">
        <v>6</v>
      </c>
      <c r="D83" s="262"/>
      <c r="E83" s="262"/>
      <c r="F83" s="263"/>
      <c r="G83" s="262">
        <v>8810</v>
      </c>
      <c r="H83" s="116">
        <v>150000</v>
      </c>
      <c r="I83" s="100">
        <f t="shared" si="21"/>
        <v>0</v>
      </c>
      <c r="J83" s="100">
        <f t="shared" si="21"/>
        <v>0</v>
      </c>
      <c r="K83" s="100">
        <f t="shared" si="21"/>
        <v>0</v>
      </c>
      <c r="L83" s="100">
        <f t="shared" si="21"/>
        <v>0</v>
      </c>
      <c r="M83" s="100">
        <f t="shared" si="21"/>
        <v>0</v>
      </c>
      <c r="N83" s="100">
        <f t="shared" si="21"/>
        <v>12500</v>
      </c>
      <c r="O83" s="100">
        <f t="shared" si="21"/>
        <v>12500</v>
      </c>
      <c r="P83" s="100">
        <f t="shared" si="21"/>
        <v>12500</v>
      </c>
      <c r="Q83" s="100">
        <f t="shared" si="21"/>
        <v>12500</v>
      </c>
      <c r="R83" s="100">
        <f t="shared" si="21"/>
        <v>12500</v>
      </c>
      <c r="S83" s="100">
        <f t="shared" si="21"/>
        <v>12500</v>
      </c>
      <c r="T83" s="100">
        <f t="shared" si="21"/>
        <v>12500</v>
      </c>
      <c r="U83" s="100">
        <f t="shared" si="23"/>
        <v>87500</v>
      </c>
    </row>
    <row r="84" spans="1:21" outlineLevel="2" x14ac:dyDescent="0.2">
      <c r="A84" s="231" t="s">
        <v>495</v>
      </c>
      <c r="B84" s="262" t="s">
        <v>327</v>
      </c>
      <c r="C84" s="262">
        <v>6</v>
      </c>
      <c r="D84" s="262"/>
      <c r="E84" s="262"/>
      <c r="F84" s="263"/>
      <c r="G84" s="262">
        <v>8810</v>
      </c>
      <c r="H84" s="116">
        <v>150000</v>
      </c>
      <c r="I84" s="100">
        <f t="shared" si="21"/>
        <v>0</v>
      </c>
      <c r="J84" s="100">
        <f t="shared" si="21"/>
        <v>0</v>
      </c>
      <c r="K84" s="100">
        <f t="shared" si="21"/>
        <v>0</v>
      </c>
      <c r="L84" s="100">
        <f t="shared" si="21"/>
        <v>0</v>
      </c>
      <c r="M84" s="100">
        <f t="shared" si="21"/>
        <v>0</v>
      </c>
      <c r="N84" s="100">
        <f t="shared" si="21"/>
        <v>12500</v>
      </c>
      <c r="O84" s="100">
        <f t="shared" si="21"/>
        <v>12500</v>
      </c>
      <c r="P84" s="100">
        <f t="shared" si="21"/>
        <v>12500</v>
      </c>
      <c r="Q84" s="100">
        <f t="shared" si="21"/>
        <v>12500</v>
      </c>
      <c r="R84" s="100">
        <f t="shared" si="21"/>
        <v>12500</v>
      </c>
      <c r="S84" s="100">
        <f t="shared" si="21"/>
        <v>12500</v>
      </c>
      <c r="T84" s="100">
        <f t="shared" si="21"/>
        <v>12500</v>
      </c>
      <c r="U84" s="100">
        <f t="shared" si="22"/>
        <v>87500</v>
      </c>
    </row>
    <row r="85" spans="1:21" outlineLevel="2" x14ac:dyDescent="0.2">
      <c r="A85" s="231" t="s">
        <v>495</v>
      </c>
      <c r="B85" s="262" t="s">
        <v>328</v>
      </c>
      <c r="C85" s="262">
        <v>6</v>
      </c>
      <c r="D85" s="262"/>
      <c r="E85" s="262"/>
      <c r="F85" s="263"/>
      <c r="G85" s="262">
        <v>8810</v>
      </c>
      <c r="H85" s="116">
        <v>150000</v>
      </c>
      <c r="I85" s="100">
        <f t="shared" si="21"/>
        <v>0</v>
      </c>
      <c r="J85" s="100">
        <f t="shared" si="21"/>
        <v>0</v>
      </c>
      <c r="K85" s="100">
        <f t="shared" si="21"/>
        <v>0</v>
      </c>
      <c r="L85" s="100">
        <f t="shared" si="21"/>
        <v>0</v>
      </c>
      <c r="M85" s="100">
        <f t="shared" si="21"/>
        <v>0</v>
      </c>
      <c r="N85" s="100">
        <f t="shared" si="21"/>
        <v>12500</v>
      </c>
      <c r="O85" s="100">
        <f t="shared" si="21"/>
        <v>12500</v>
      </c>
      <c r="P85" s="100">
        <f t="shared" si="21"/>
        <v>12500</v>
      </c>
      <c r="Q85" s="100">
        <f t="shared" si="21"/>
        <v>12500</v>
      </c>
      <c r="R85" s="100">
        <f t="shared" si="21"/>
        <v>12500</v>
      </c>
      <c r="S85" s="100">
        <f t="shared" si="21"/>
        <v>12500</v>
      </c>
      <c r="T85" s="100">
        <f t="shared" si="21"/>
        <v>12500</v>
      </c>
      <c r="U85" s="100">
        <f t="shared" si="22"/>
        <v>87500</v>
      </c>
    </row>
    <row r="86" spans="1:21" outlineLevel="2" x14ac:dyDescent="0.2">
      <c r="A86" s="231" t="s">
        <v>495</v>
      </c>
      <c r="B86" s="262" t="s">
        <v>329</v>
      </c>
      <c r="C86" s="262">
        <v>1</v>
      </c>
      <c r="D86" s="262"/>
      <c r="E86" s="262"/>
      <c r="F86" s="263"/>
      <c r="G86" s="262">
        <v>8291</v>
      </c>
      <c r="H86" s="116">
        <v>60000</v>
      </c>
      <c r="I86" s="100">
        <f t="shared" si="21"/>
        <v>5000</v>
      </c>
      <c r="J86" s="100">
        <f t="shared" si="21"/>
        <v>5000</v>
      </c>
      <c r="K86" s="100">
        <f t="shared" si="21"/>
        <v>5000</v>
      </c>
      <c r="L86" s="100">
        <f t="shared" si="21"/>
        <v>5000</v>
      </c>
      <c r="M86" s="100">
        <f t="shared" si="21"/>
        <v>5000</v>
      </c>
      <c r="N86" s="100">
        <f t="shared" si="21"/>
        <v>5000</v>
      </c>
      <c r="O86" s="100">
        <f t="shared" si="21"/>
        <v>5000</v>
      </c>
      <c r="P86" s="100">
        <f t="shared" si="21"/>
        <v>5000</v>
      </c>
      <c r="Q86" s="100">
        <f t="shared" si="21"/>
        <v>5000</v>
      </c>
      <c r="R86" s="100">
        <f t="shared" si="21"/>
        <v>5000</v>
      </c>
      <c r="S86" s="100">
        <f t="shared" si="21"/>
        <v>5000</v>
      </c>
      <c r="T86" s="100">
        <f t="shared" si="21"/>
        <v>5000</v>
      </c>
      <c r="U86" s="100">
        <f t="shared" ref="U86:U87" si="24">SUM(I86:T86)</f>
        <v>60000</v>
      </c>
    </row>
    <row r="87" spans="1:21" outlineLevel="2" x14ac:dyDescent="0.2">
      <c r="A87" s="231" t="s">
        <v>495</v>
      </c>
      <c r="B87" s="262" t="s">
        <v>330</v>
      </c>
      <c r="C87" s="262">
        <v>6</v>
      </c>
      <c r="D87" s="262"/>
      <c r="E87" s="262"/>
      <c r="F87" s="263"/>
      <c r="G87" s="262">
        <v>8291</v>
      </c>
      <c r="H87" s="116">
        <v>60000</v>
      </c>
      <c r="I87" s="100">
        <f t="shared" si="21"/>
        <v>0</v>
      </c>
      <c r="J87" s="100">
        <f t="shared" si="21"/>
        <v>0</v>
      </c>
      <c r="K87" s="100">
        <f t="shared" si="21"/>
        <v>0</v>
      </c>
      <c r="L87" s="100">
        <f t="shared" si="21"/>
        <v>0</v>
      </c>
      <c r="M87" s="100">
        <f t="shared" si="21"/>
        <v>0</v>
      </c>
      <c r="N87" s="100">
        <f t="shared" si="21"/>
        <v>5000</v>
      </c>
      <c r="O87" s="100">
        <f t="shared" si="21"/>
        <v>5000</v>
      </c>
      <c r="P87" s="100">
        <f t="shared" si="21"/>
        <v>5000</v>
      </c>
      <c r="Q87" s="100">
        <f t="shared" si="21"/>
        <v>5000</v>
      </c>
      <c r="R87" s="100">
        <f t="shared" si="21"/>
        <v>5000</v>
      </c>
      <c r="S87" s="100">
        <f t="shared" si="21"/>
        <v>5000</v>
      </c>
      <c r="T87" s="100">
        <f t="shared" si="21"/>
        <v>5000</v>
      </c>
      <c r="U87" s="100">
        <f t="shared" si="24"/>
        <v>35000</v>
      </c>
    </row>
    <row r="88" spans="1:21" outlineLevel="2" x14ac:dyDescent="0.2">
      <c r="B88" s="262"/>
      <c r="C88" s="262"/>
      <c r="D88" s="262"/>
      <c r="E88" s="262"/>
      <c r="F88" s="263"/>
      <c r="G88" s="262"/>
      <c r="H88" s="116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</row>
    <row r="89" spans="1:21" s="234" customFormat="1" outlineLevel="2" x14ac:dyDescent="0.2">
      <c r="B89" s="264"/>
      <c r="C89" s="264">
        <f>SUBTOTAL(3,C77:C88)</f>
        <v>11</v>
      </c>
      <c r="F89" s="234" t="s">
        <v>27</v>
      </c>
      <c r="H89" s="115"/>
      <c r="I89" s="264">
        <f>COUNTIF(I76:I88,"&gt;0")</f>
        <v>4</v>
      </c>
      <c r="J89" s="264">
        <f t="shared" ref="J89:U89" si="25">COUNTIF(J76:J88,"&gt;0")</f>
        <v>4</v>
      </c>
      <c r="K89" s="264">
        <f t="shared" si="25"/>
        <v>4</v>
      </c>
      <c r="L89" s="264">
        <f t="shared" si="25"/>
        <v>4</v>
      </c>
      <c r="M89" s="264">
        <f t="shared" si="25"/>
        <v>4</v>
      </c>
      <c r="N89" s="264">
        <f t="shared" si="25"/>
        <v>11</v>
      </c>
      <c r="O89" s="264">
        <f t="shared" si="25"/>
        <v>11</v>
      </c>
      <c r="P89" s="264">
        <f t="shared" si="25"/>
        <v>11</v>
      </c>
      <c r="Q89" s="264">
        <f t="shared" si="25"/>
        <v>11</v>
      </c>
      <c r="R89" s="264">
        <f t="shared" si="25"/>
        <v>11</v>
      </c>
      <c r="S89" s="264">
        <f t="shared" si="25"/>
        <v>11</v>
      </c>
      <c r="T89" s="264">
        <f t="shared" si="25"/>
        <v>11</v>
      </c>
      <c r="U89" s="264">
        <f t="shared" si="25"/>
        <v>11</v>
      </c>
    </row>
    <row r="90" spans="1:21" s="230" customFormat="1" outlineLevel="1" x14ac:dyDescent="0.2">
      <c r="B90" s="230" t="s">
        <v>136</v>
      </c>
      <c r="H90" s="101"/>
      <c r="I90" s="104">
        <f>SUM(I77:I88)</f>
        <v>30833.333333333332</v>
      </c>
      <c r="J90" s="104">
        <f t="shared" ref="J90:U90" si="26">SUM(J77:J88)</f>
        <v>30833.333333333332</v>
      </c>
      <c r="K90" s="104">
        <f t="shared" si="26"/>
        <v>30833.333333333332</v>
      </c>
      <c r="L90" s="104">
        <f t="shared" si="26"/>
        <v>30833.333333333332</v>
      </c>
      <c r="M90" s="104">
        <f t="shared" si="26"/>
        <v>30833.333333333332</v>
      </c>
      <c r="N90" s="104">
        <f t="shared" si="26"/>
        <v>110833.33333333333</v>
      </c>
      <c r="O90" s="104">
        <f t="shared" si="26"/>
        <v>110833.33333333333</v>
      </c>
      <c r="P90" s="104">
        <f t="shared" si="26"/>
        <v>110833.33333333333</v>
      </c>
      <c r="Q90" s="104">
        <f t="shared" si="26"/>
        <v>110833.33333333333</v>
      </c>
      <c r="R90" s="104">
        <f t="shared" si="26"/>
        <v>110833.33333333333</v>
      </c>
      <c r="S90" s="104">
        <f t="shared" si="26"/>
        <v>110833.33333333333</v>
      </c>
      <c r="T90" s="104">
        <f t="shared" si="26"/>
        <v>110833.33333333333</v>
      </c>
      <c r="U90" s="104">
        <f t="shared" si="26"/>
        <v>930000</v>
      </c>
    </row>
    <row r="91" spans="1:21" outlineLevel="2" x14ac:dyDescent="0.2">
      <c r="B91" s="254"/>
      <c r="C91" s="254"/>
      <c r="D91" s="254"/>
      <c r="E91" s="254"/>
      <c r="F91" s="254"/>
      <c r="G91" s="254"/>
    </row>
    <row r="92" spans="1:21" outlineLevel="2" x14ac:dyDescent="0.2">
      <c r="B92" s="254" t="s">
        <v>137</v>
      </c>
      <c r="C92" s="299" t="s">
        <v>34</v>
      </c>
      <c r="D92" s="299"/>
      <c r="E92" s="299" t="s">
        <v>35</v>
      </c>
      <c r="F92" s="299"/>
      <c r="G92" s="256"/>
    </row>
    <row r="93" spans="1:21" outlineLevel="2" x14ac:dyDescent="0.2">
      <c r="B93" s="257" t="s">
        <v>36</v>
      </c>
      <c r="C93" s="258" t="s">
        <v>43</v>
      </c>
      <c r="D93" s="259" t="s">
        <v>44</v>
      </c>
      <c r="E93" s="257" t="s">
        <v>40</v>
      </c>
      <c r="F93" s="260" t="s">
        <v>41</v>
      </c>
      <c r="G93" s="261" t="s">
        <v>179</v>
      </c>
      <c r="H93" s="102" t="s">
        <v>42</v>
      </c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</row>
    <row r="94" spans="1:21" outlineLevel="2" x14ac:dyDescent="0.2">
      <c r="A94" s="231" t="s">
        <v>495</v>
      </c>
      <c r="B94" s="262" t="s">
        <v>331</v>
      </c>
      <c r="C94" s="262">
        <v>1</v>
      </c>
      <c r="D94" s="262"/>
      <c r="E94" s="262"/>
      <c r="F94" s="263"/>
      <c r="G94" s="262">
        <v>8291</v>
      </c>
      <c r="H94" s="116">
        <v>50000</v>
      </c>
      <c r="I94" s="100">
        <f t="shared" ref="I94:T109" si="27">IF(I$5&gt;=$C94,$H94/12,0)</f>
        <v>4166.666666666667</v>
      </c>
      <c r="J94" s="100">
        <f t="shared" si="27"/>
        <v>4166.666666666667</v>
      </c>
      <c r="K94" s="100">
        <f t="shared" si="27"/>
        <v>4166.666666666667</v>
      </c>
      <c r="L94" s="100">
        <f t="shared" si="27"/>
        <v>4166.666666666667</v>
      </c>
      <c r="M94" s="100">
        <f t="shared" si="27"/>
        <v>4166.666666666667</v>
      </c>
      <c r="N94" s="100">
        <f t="shared" si="27"/>
        <v>4166.666666666667</v>
      </c>
      <c r="O94" s="100">
        <f t="shared" si="27"/>
        <v>4166.666666666667</v>
      </c>
      <c r="P94" s="100">
        <f t="shared" si="27"/>
        <v>4166.666666666667</v>
      </c>
      <c r="Q94" s="100">
        <f t="shared" si="27"/>
        <v>4166.666666666667</v>
      </c>
      <c r="R94" s="100">
        <f t="shared" si="27"/>
        <v>4166.666666666667</v>
      </c>
      <c r="S94" s="100">
        <f t="shared" si="27"/>
        <v>4166.666666666667</v>
      </c>
      <c r="T94" s="100">
        <f t="shared" si="27"/>
        <v>4166.666666666667</v>
      </c>
      <c r="U94" s="100">
        <f t="shared" ref="U94:U138" si="28">SUM(I94:T94)</f>
        <v>49999.999999999993</v>
      </c>
    </row>
    <row r="95" spans="1:21" outlineLevel="2" x14ac:dyDescent="0.2">
      <c r="A95" s="231" t="s">
        <v>495</v>
      </c>
      <c r="B95" s="262" t="s">
        <v>332</v>
      </c>
      <c r="C95" s="262">
        <v>1</v>
      </c>
      <c r="D95" s="262"/>
      <c r="E95" s="262"/>
      <c r="F95" s="263"/>
      <c r="G95" s="262">
        <v>8291</v>
      </c>
      <c r="H95" s="116">
        <v>50000</v>
      </c>
      <c r="I95" s="100">
        <f t="shared" si="27"/>
        <v>4166.666666666667</v>
      </c>
      <c r="J95" s="100">
        <f t="shared" si="27"/>
        <v>4166.666666666667</v>
      </c>
      <c r="K95" s="100">
        <f t="shared" si="27"/>
        <v>4166.666666666667</v>
      </c>
      <c r="L95" s="100">
        <f t="shared" si="27"/>
        <v>4166.666666666667</v>
      </c>
      <c r="M95" s="100">
        <f t="shared" si="27"/>
        <v>4166.666666666667</v>
      </c>
      <c r="N95" s="100">
        <f t="shared" si="27"/>
        <v>4166.666666666667</v>
      </c>
      <c r="O95" s="100">
        <f t="shared" si="27"/>
        <v>4166.666666666667</v>
      </c>
      <c r="P95" s="100">
        <f t="shared" si="27"/>
        <v>4166.666666666667</v>
      </c>
      <c r="Q95" s="100">
        <f t="shared" si="27"/>
        <v>4166.666666666667</v>
      </c>
      <c r="R95" s="100">
        <f t="shared" si="27"/>
        <v>4166.666666666667</v>
      </c>
      <c r="S95" s="100">
        <f t="shared" si="27"/>
        <v>4166.666666666667</v>
      </c>
      <c r="T95" s="100">
        <f t="shared" si="27"/>
        <v>4166.666666666667</v>
      </c>
      <c r="U95" s="100">
        <f t="shared" si="28"/>
        <v>49999.999999999993</v>
      </c>
    </row>
    <row r="96" spans="1:21" outlineLevel="2" x14ac:dyDescent="0.2">
      <c r="A96" s="231" t="s">
        <v>495</v>
      </c>
      <c r="B96" s="262" t="s">
        <v>333</v>
      </c>
      <c r="C96" s="262">
        <v>1</v>
      </c>
      <c r="D96" s="262"/>
      <c r="E96" s="262"/>
      <c r="F96" s="263"/>
      <c r="G96" s="262">
        <v>8291</v>
      </c>
      <c r="H96" s="116">
        <v>50000</v>
      </c>
      <c r="I96" s="100">
        <f t="shared" si="27"/>
        <v>4166.666666666667</v>
      </c>
      <c r="J96" s="100">
        <f t="shared" si="27"/>
        <v>4166.666666666667</v>
      </c>
      <c r="K96" s="100">
        <f t="shared" si="27"/>
        <v>4166.666666666667</v>
      </c>
      <c r="L96" s="100">
        <f t="shared" si="27"/>
        <v>4166.666666666667</v>
      </c>
      <c r="M96" s="100">
        <f t="shared" si="27"/>
        <v>4166.666666666667</v>
      </c>
      <c r="N96" s="100">
        <f t="shared" si="27"/>
        <v>4166.666666666667</v>
      </c>
      <c r="O96" s="100">
        <f t="shared" si="27"/>
        <v>4166.666666666667</v>
      </c>
      <c r="P96" s="100">
        <f t="shared" si="27"/>
        <v>4166.666666666667</v>
      </c>
      <c r="Q96" s="100">
        <f t="shared" si="27"/>
        <v>4166.666666666667</v>
      </c>
      <c r="R96" s="100">
        <f t="shared" si="27"/>
        <v>4166.666666666667</v>
      </c>
      <c r="S96" s="100">
        <f t="shared" si="27"/>
        <v>4166.666666666667</v>
      </c>
      <c r="T96" s="100">
        <f t="shared" si="27"/>
        <v>4166.666666666667</v>
      </c>
      <c r="U96" s="100">
        <f t="shared" si="28"/>
        <v>49999.999999999993</v>
      </c>
    </row>
    <row r="97" spans="1:21" outlineLevel="2" x14ac:dyDescent="0.2">
      <c r="A97" s="231" t="s">
        <v>495</v>
      </c>
      <c r="B97" s="262" t="s">
        <v>334</v>
      </c>
      <c r="C97" s="262">
        <v>1</v>
      </c>
      <c r="D97" s="262"/>
      <c r="E97" s="262"/>
      <c r="F97" s="263"/>
      <c r="G97" s="262">
        <v>8291</v>
      </c>
      <c r="H97" s="116">
        <v>50000</v>
      </c>
      <c r="I97" s="100">
        <f t="shared" si="27"/>
        <v>4166.666666666667</v>
      </c>
      <c r="J97" s="100">
        <f t="shared" si="27"/>
        <v>4166.666666666667</v>
      </c>
      <c r="K97" s="100">
        <f t="shared" si="27"/>
        <v>4166.666666666667</v>
      </c>
      <c r="L97" s="100">
        <f t="shared" si="27"/>
        <v>4166.666666666667</v>
      </c>
      <c r="M97" s="100">
        <f t="shared" si="27"/>
        <v>4166.666666666667</v>
      </c>
      <c r="N97" s="100">
        <f t="shared" si="27"/>
        <v>4166.666666666667</v>
      </c>
      <c r="O97" s="100">
        <f t="shared" si="27"/>
        <v>4166.666666666667</v>
      </c>
      <c r="P97" s="100">
        <f t="shared" si="27"/>
        <v>4166.666666666667</v>
      </c>
      <c r="Q97" s="100">
        <f t="shared" si="27"/>
        <v>4166.666666666667</v>
      </c>
      <c r="R97" s="100">
        <f t="shared" si="27"/>
        <v>4166.666666666667</v>
      </c>
      <c r="S97" s="100">
        <f t="shared" si="27"/>
        <v>4166.666666666667</v>
      </c>
      <c r="T97" s="100">
        <f t="shared" si="27"/>
        <v>4166.666666666667</v>
      </c>
      <c r="U97" s="100">
        <f t="shared" si="28"/>
        <v>49999.999999999993</v>
      </c>
    </row>
    <row r="98" spans="1:21" outlineLevel="2" x14ac:dyDescent="0.2">
      <c r="A98" s="231" t="s">
        <v>495</v>
      </c>
      <c r="B98" s="262" t="s">
        <v>335</v>
      </c>
      <c r="C98" s="262">
        <v>2</v>
      </c>
      <c r="D98" s="262"/>
      <c r="E98" s="262"/>
      <c r="F98" s="263"/>
      <c r="G98" s="262">
        <v>8291</v>
      </c>
      <c r="H98" s="116">
        <v>50000</v>
      </c>
      <c r="I98" s="100">
        <f t="shared" si="27"/>
        <v>0</v>
      </c>
      <c r="J98" s="100">
        <f t="shared" si="27"/>
        <v>4166.666666666667</v>
      </c>
      <c r="K98" s="100">
        <f t="shared" si="27"/>
        <v>4166.666666666667</v>
      </c>
      <c r="L98" s="100">
        <f t="shared" si="27"/>
        <v>4166.666666666667</v>
      </c>
      <c r="M98" s="100">
        <f t="shared" si="27"/>
        <v>4166.666666666667</v>
      </c>
      <c r="N98" s="100">
        <f t="shared" si="27"/>
        <v>4166.666666666667</v>
      </c>
      <c r="O98" s="100">
        <f t="shared" si="27"/>
        <v>4166.666666666667</v>
      </c>
      <c r="P98" s="100">
        <f t="shared" si="27"/>
        <v>4166.666666666667</v>
      </c>
      <c r="Q98" s="100">
        <f t="shared" si="27"/>
        <v>4166.666666666667</v>
      </c>
      <c r="R98" s="100">
        <f t="shared" si="27"/>
        <v>4166.666666666667</v>
      </c>
      <c r="S98" s="100">
        <f t="shared" si="27"/>
        <v>4166.666666666667</v>
      </c>
      <c r="T98" s="100">
        <f t="shared" si="27"/>
        <v>4166.666666666667</v>
      </c>
      <c r="U98" s="100">
        <f t="shared" si="28"/>
        <v>45833.333333333328</v>
      </c>
    </row>
    <row r="99" spans="1:21" outlineLevel="2" x14ac:dyDescent="0.2">
      <c r="A99" s="231" t="s">
        <v>495</v>
      </c>
      <c r="B99" s="262" t="s">
        <v>336</v>
      </c>
      <c r="C99" s="262">
        <v>3</v>
      </c>
      <c r="D99" s="262"/>
      <c r="E99" s="262"/>
      <c r="F99" s="263"/>
      <c r="G99" s="262">
        <v>8291</v>
      </c>
      <c r="H99" s="116">
        <v>50000</v>
      </c>
      <c r="I99" s="100">
        <f t="shared" si="27"/>
        <v>0</v>
      </c>
      <c r="J99" s="100">
        <f t="shared" si="27"/>
        <v>0</v>
      </c>
      <c r="K99" s="100">
        <f t="shared" si="27"/>
        <v>4166.666666666667</v>
      </c>
      <c r="L99" s="100">
        <f t="shared" si="27"/>
        <v>4166.666666666667</v>
      </c>
      <c r="M99" s="100">
        <f t="shared" si="27"/>
        <v>4166.666666666667</v>
      </c>
      <c r="N99" s="100">
        <f t="shared" si="27"/>
        <v>4166.666666666667</v>
      </c>
      <c r="O99" s="100">
        <f t="shared" si="27"/>
        <v>4166.666666666667</v>
      </c>
      <c r="P99" s="100">
        <f t="shared" si="27"/>
        <v>4166.666666666667</v>
      </c>
      <c r="Q99" s="100">
        <f t="shared" si="27"/>
        <v>4166.666666666667</v>
      </c>
      <c r="R99" s="100">
        <f t="shared" si="27"/>
        <v>4166.666666666667</v>
      </c>
      <c r="S99" s="100">
        <f t="shared" si="27"/>
        <v>4166.666666666667</v>
      </c>
      <c r="T99" s="100">
        <f t="shared" si="27"/>
        <v>4166.666666666667</v>
      </c>
      <c r="U99" s="100">
        <f t="shared" ref="U99" si="29">SUM(I99:T99)</f>
        <v>41666.666666666664</v>
      </c>
    </row>
    <row r="100" spans="1:21" outlineLevel="2" x14ac:dyDescent="0.2">
      <c r="A100" s="231" t="s">
        <v>495</v>
      </c>
      <c r="B100" s="262" t="s">
        <v>337</v>
      </c>
      <c r="C100" s="262">
        <v>4</v>
      </c>
      <c r="D100" s="262"/>
      <c r="E100" s="262"/>
      <c r="F100" s="263"/>
      <c r="G100" s="262">
        <v>8291</v>
      </c>
      <c r="H100" s="116">
        <v>50000</v>
      </c>
      <c r="I100" s="100">
        <f t="shared" si="27"/>
        <v>0</v>
      </c>
      <c r="J100" s="100">
        <f t="shared" si="27"/>
        <v>0</v>
      </c>
      <c r="K100" s="100">
        <f t="shared" si="27"/>
        <v>0</v>
      </c>
      <c r="L100" s="100">
        <f t="shared" si="27"/>
        <v>4166.666666666667</v>
      </c>
      <c r="M100" s="100">
        <f t="shared" si="27"/>
        <v>4166.666666666667</v>
      </c>
      <c r="N100" s="100">
        <f t="shared" si="27"/>
        <v>4166.666666666667</v>
      </c>
      <c r="O100" s="100">
        <f t="shared" si="27"/>
        <v>4166.666666666667</v>
      </c>
      <c r="P100" s="100">
        <f t="shared" si="27"/>
        <v>4166.666666666667</v>
      </c>
      <c r="Q100" s="100">
        <f t="shared" si="27"/>
        <v>4166.666666666667</v>
      </c>
      <c r="R100" s="100">
        <f t="shared" si="27"/>
        <v>4166.666666666667</v>
      </c>
      <c r="S100" s="100">
        <f t="shared" si="27"/>
        <v>4166.666666666667</v>
      </c>
      <c r="T100" s="100">
        <f t="shared" si="27"/>
        <v>4166.666666666667</v>
      </c>
      <c r="U100" s="100">
        <f t="shared" si="28"/>
        <v>37500</v>
      </c>
    </row>
    <row r="101" spans="1:21" outlineLevel="2" x14ac:dyDescent="0.2">
      <c r="A101" s="231" t="s">
        <v>495</v>
      </c>
      <c r="B101" s="262" t="s">
        <v>338</v>
      </c>
      <c r="C101" s="262">
        <v>5</v>
      </c>
      <c r="D101" s="262"/>
      <c r="E101" s="262"/>
      <c r="F101" s="263"/>
      <c r="G101" s="262">
        <v>8291</v>
      </c>
      <c r="H101" s="116">
        <v>50000</v>
      </c>
      <c r="I101" s="100">
        <f t="shared" si="27"/>
        <v>0</v>
      </c>
      <c r="J101" s="100">
        <f t="shared" si="27"/>
        <v>0</v>
      </c>
      <c r="K101" s="100">
        <f t="shared" si="27"/>
        <v>0</v>
      </c>
      <c r="L101" s="100">
        <f t="shared" si="27"/>
        <v>0</v>
      </c>
      <c r="M101" s="100">
        <f t="shared" si="27"/>
        <v>4166.666666666667</v>
      </c>
      <c r="N101" s="100">
        <f t="shared" si="27"/>
        <v>4166.666666666667</v>
      </c>
      <c r="O101" s="100">
        <f t="shared" si="27"/>
        <v>4166.666666666667</v>
      </c>
      <c r="P101" s="100">
        <f t="shared" si="27"/>
        <v>4166.666666666667</v>
      </c>
      <c r="Q101" s="100">
        <f t="shared" si="27"/>
        <v>4166.666666666667</v>
      </c>
      <c r="R101" s="100">
        <f t="shared" si="27"/>
        <v>4166.666666666667</v>
      </c>
      <c r="S101" s="100">
        <f t="shared" si="27"/>
        <v>4166.666666666667</v>
      </c>
      <c r="T101" s="100">
        <f t="shared" si="27"/>
        <v>4166.666666666667</v>
      </c>
      <c r="U101" s="100">
        <f t="shared" si="28"/>
        <v>33333.333333333336</v>
      </c>
    </row>
    <row r="102" spans="1:21" outlineLevel="2" x14ac:dyDescent="0.2">
      <c r="A102" s="231" t="s">
        <v>495</v>
      </c>
      <c r="B102" s="262" t="s">
        <v>339</v>
      </c>
      <c r="C102" s="262">
        <v>6</v>
      </c>
      <c r="D102" s="262"/>
      <c r="E102" s="262"/>
      <c r="F102" s="263"/>
      <c r="G102" s="262">
        <v>8291</v>
      </c>
      <c r="H102" s="116">
        <v>50000</v>
      </c>
      <c r="I102" s="100">
        <f t="shared" si="27"/>
        <v>0</v>
      </c>
      <c r="J102" s="100">
        <f t="shared" si="27"/>
        <v>0</v>
      </c>
      <c r="K102" s="100">
        <f t="shared" si="27"/>
        <v>0</v>
      </c>
      <c r="L102" s="100">
        <f t="shared" si="27"/>
        <v>0</v>
      </c>
      <c r="M102" s="100">
        <f t="shared" si="27"/>
        <v>0</v>
      </c>
      <c r="N102" s="100">
        <f t="shared" si="27"/>
        <v>4166.666666666667</v>
      </c>
      <c r="O102" s="100">
        <f t="shared" si="27"/>
        <v>4166.666666666667</v>
      </c>
      <c r="P102" s="100">
        <f t="shared" si="27"/>
        <v>4166.666666666667</v>
      </c>
      <c r="Q102" s="100">
        <f t="shared" si="27"/>
        <v>4166.666666666667</v>
      </c>
      <c r="R102" s="100">
        <f t="shared" si="27"/>
        <v>4166.666666666667</v>
      </c>
      <c r="S102" s="100">
        <f t="shared" si="27"/>
        <v>4166.666666666667</v>
      </c>
      <c r="T102" s="100">
        <f t="shared" si="27"/>
        <v>4166.666666666667</v>
      </c>
      <c r="U102" s="100">
        <f t="shared" si="28"/>
        <v>29166.666666666672</v>
      </c>
    </row>
    <row r="103" spans="1:21" outlineLevel="2" x14ac:dyDescent="0.2">
      <c r="A103" s="231" t="s">
        <v>495</v>
      </c>
      <c r="B103" s="262" t="s">
        <v>340</v>
      </c>
      <c r="C103" s="262">
        <v>7</v>
      </c>
      <c r="D103" s="262"/>
      <c r="E103" s="262"/>
      <c r="F103" s="263"/>
      <c r="G103" s="262">
        <v>8291</v>
      </c>
      <c r="H103" s="116">
        <v>50000</v>
      </c>
      <c r="I103" s="100">
        <f t="shared" si="27"/>
        <v>0</v>
      </c>
      <c r="J103" s="100">
        <f t="shared" si="27"/>
        <v>0</v>
      </c>
      <c r="K103" s="100">
        <f t="shared" si="27"/>
        <v>0</v>
      </c>
      <c r="L103" s="100">
        <f t="shared" si="27"/>
        <v>0</v>
      </c>
      <c r="M103" s="100">
        <f t="shared" si="27"/>
        <v>0</v>
      </c>
      <c r="N103" s="100">
        <f t="shared" si="27"/>
        <v>0</v>
      </c>
      <c r="O103" s="100">
        <f t="shared" si="27"/>
        <v>4166.666666666667</v>
      </c>
      <c r="P103" s="100">
        <f t="shared" si="27"/>
        <v>4166.666666666667</v>
      </c>
      <c r="Q103" s="100">
        <f t="shared" si="27"/>
        <v>4166.666666666667</v>
      </c>
      <c r="R103" s="100">
        <f t="shared" si="27"/>
        <v>4166.666666666667</v>
      </c>
      <c r="S103" s="100">
        <f t="shared" si="27"/>
        <v>4166.666666666667</v>
      </c>
      <c r="T103" s="100">
        <f t="shared" si="27"/>
        <v>4166.666666666667</v>
      </c>
      <c r="U103" s="100">
        <f t="shared" si="28"/>
        <v>25000.000000000004</v>
      </c>
    </row>
    <row r="104" spans="1:21" outlineLevel="2" x14ac:dyDescent="0.2">
      <c r="A104" s="231" t="s">
        <v>495</v>
      </c>
      <c r="B104" s="262" t="s">
        <v>341</v>
      </c>
      <c r="C104" s="262">
        <v>8</v>
      </c>
      <c r="D104" s="262"/>
      <c r="E104" s="262"/>
      <c r="F104" s="263"/>
      <c r="G104" s="262">
        <v>8291</v>
      </c>
      <c r="H104" s="116">
        <v>50000</v>
      </c>
      <c r="I104" s="100">
        <f t="shared" si="27"/>
        <v>0</v>
      </c>
      <c r="J104" s="100">
        <f t="shared" si="27"/>
        <v>0</v>
      </c>
      <c r="K104" s="100">
        <f t="shared" si="27"/>
        <v>0</v>
      </c>
      <c r="L104" s="100">
        <f t="shared" si="27"/>
        <v>0</v>
      </c>
      <c r="M104" s="100">
        <f t="shared" si="27"/>
        <v>0</v>
      </c>
      <c r="N104" s="100">
        <f t="shared" si="27"/>
        <v>0</v>
      </c>
      <c r="O104" s="100">
        <f t="shared" si="27"/>
        <v>0</v>
      </c>
      <c r="P104" s="100">
        <f t="shared" si="27"/>
        <v>4166.666666666667</v>
      </c>
      <c r="Q104" s="100">
        <f t="shared" si="27"/>
        <v>4166.666666666667</v>
      </c>
      <c r="R104" s="100">
        <f t="shared" si="27"/>
        <v>4166.666666666667</v>
      </c>
      <c r="S104" s="100">
        <f t="shared" si="27"/>
        <v>4166.666666666667</v>
      </c>
      <c r="T104" s="100">
        <f t="shared" si="27"/>
        <v>4166.666666666667</v>
      </c>
      <c r="U104" s="100">
        <f t="shared" si="28"/>
        <v>20833.333333333336</v>
      </c>
    </row>
    <row r="105" spans="1:21" outlineLevel="2" x14ac:dyDescent="0.2">
      <c r="A105" s="231" t="s">
        <v>495</v>
      </c>
      <c r="B105" s="262" t="s">
        <v>342</v>
      </c>
      <c r="C105" s="262">
        <v>9</v>
      </c>
      <c r="D105" s="262"/>
      <c r="E105" s="262"/>
      <c r="F105" s="263"/>
      <c r="G105" s="262">
        <v>8291</v>
      </c>
      <c r="H105" s="116">
        <v>50000</v>
      </c>
      <c r="I105" s="100">
        <f t="shared" si="27"/>
        <v>0</v>
      </c>
      <c r="J105" s="100">
        <f t="shared" si="27"/>
        <v>0</v>
      </c>
      <c r="K105" s="100">
        <f t="shared" si="27"/>
        <v>0</v>
      </c>
      <c r="L105" s="100">
        <f t="shared" si="27"/>
        <v>0</v>
      </c>
      <c r="M105" s="100">
        <f t="shared" si="27"/>
        <v>0</v>
      </c>
      <c r="N105" s="100">
        <f t="shared" si="27"/>
        <v>0</v>
      </c>
      <c r="O105" s="100">
        <f t="shared" si="27"/>
        <v>0</v>
      </c>
      <c r="P105" s="100">
        <f t="shared" si="27"/>
        <v>0</v>
      </c>
      <c r="Q105" s="100">
        <f t="shared" si="27"/>
        <v>4166.666666666667</v>
      </c>
      <c r="R105" s="100">
        <f t="shared" si="27"/>
        <v>4166.666666666667</v>
      </c>
      <c r="S105" s="100">
        <f t="shared" si="27"/>
        <v>4166.666666666667</v>
      </c>
      <c r="T105" s="100">
        <f t="shared" si="27"/>
        <v>4166.666666666667</v>
      </c>
      <c r="U105" s="100">
        <f t="shared" si="28"/>
        <v>16666.666666666668</v>
      </c>
    </row>
    <row r="106" spans="1:21" outlineLevel="2" x14ac:dyDescent="0.2">
      <c r="A106" s="231" t="s">
        <v>495</v>
      </c>
      <c r="B106" s="262" t="s">
        <v>343</v>
      </c>
      <c r="C106" s="262">
        <v>1</v>
      </c>
      <c r="D106" s="262"/>
      <c r="E106" s="262"/>
      <c r="F106" s="263"/>
      <c r="G106" s="262">
        <v>8291</v>
      </c>
      <c r="H106" s="116">
        <v>55000</v>
      </c>
      <c r="I106" s="100">
        <f t="shared" si="27"/>
        <v>4583.333333333333</v>
      </c>
      <c r="J106" s="100">
        <f t="shared" si="27"/>
        <v>4583.333333333333</v>
      </c>
      <c r="K106" s="100">
        <f t="shared" si="27"/>
        <v>4583.333333333333</v>
      </c>
      <c r="L106" s="100">
        <f t="shared" si="27"/>
        <v>4583.333333333333</v>
      </c>
      <c r="M106" s="100">
        <f t="shared" si="27"/>
        <v>4583.333333333333</v>
      </c>
      <c r="N106" s="100">
        <f t="shared" si="27"/>
        <v>4583.333333333333</v>
      </c>
      <c r="O106" s="100">
        <f t="shared" si="27"/>
        <v>4583.333333333333</v>
      </c>
      <c r="P106" s="100">
        <f t="shared" si="27"/>
        <v>4583.333333333333</v>
      </c>
      <c r="Q106" s="100">
        <f t="shared" si="27"/>
        <v>4583.333333333333</v>
      </c>
      <c r="R106" s="100">
        <f t="shared" si="27"/>
        <v>4583.333333333333</v>
      </c>
      <c r="S106" s="100">
        <f t="shared" si="27"/>
        <v>4583.333333333333</v>
      </c>
      <c r="T106" s="100">
        <f t="shared" si="27"/>
        <v>4583.333333333333</v>
      </c>
      <c r="U106" s="100">
        <f t="shared" si="28"/>
        <v>55000.000000000007</v>
      </c>
    </row>
    <row r="107" spans="1:21" outlineLevel="2" x14ac:dyDescent="0.2">
      <c r="A107" s="231" t="s">
        <v>495</v>
      </c>
      <c r="B107" s="262" t="s">
        <v>344</v>
      </c>
      <c r="C107" s="262">
        <v>1</v>
      </c>
      <c r="D107" s="262"/>
      <c r="E107" s="262"/>
      <c r="F107" s="263"/>
      <c r="G107" s="262">
        <v>8291</v>
      </c>
      <c r="H107" s="116">
        <v>55000</v>
      </c>
      <c r="I107" s="100">
        <f t="shared" si="27"/>
        <v>4583.333333333333</v>
      </c>
      <c r="J107" s="100">
        <f t="shared" si="27"/>
        <v>4583.333333333333</v>
      </c>
      <c r="K107" s="100">
        <f t="shared" si="27"/>
        <v>4583.333333333333</v>
      </c>
      <c r="L107" s="100">
        <f t="shared" si="27"/>
        <v>4583.333333333333</v>
      </c>
      <c r="M107" s="100">
        <f t="shared" si="27"/>
        <v>4583.333333333333</v>
      </c>
      <c r="N107" s="100">
        <f t="shared" si="27"/>
        <v>4583.333333333333</v>
      </c>
      <c r="O107" s="100">
        <f t="shared" si="27"/>
        <v>4583.333333333333</v>
      </c>
      <c r="P107" s="100">
        <f t="shared" si="27"/>
        <v>4583.333333333333</v>
      </c>
      <c r="Q107" s="100">
        <f t="shared" si="27"/>
        <v>4583.333333333333</v>
      </c>
      <c r="R107" s="100">
        <f t="shared" si="27"/>
        <v>4583.333333333333</v>
      </c>
      <c r="S107" s="100">
        <f t="shared" si="27"/>
        <v>4583.333333333333</v>
      </c>
      <c r="T107" s="100">
        <f t="shared" si="27"/>
        <v>4583.333333333333</v>
      </c>
      <c r="U107" s="100">
        <f t="shared" si="28"/>
        <v>55000.000000000007</v>
      </c>
    </row>
    <row r="108" spans="1:21" outlineLevel="2" x14ac:dyDescent="0.2">
      <c r="A108" s="231" t="s">
        <v>495</v>
      </c>
      <c r="B108" s="262" t="s">
        <v>345</v>
      </c>
      <c r="C108" s="262">
        <v>1</v>
      </c>
      <c r="D108" s="262"/>
      <c r="E108" s="262"/>
      <c r="F108" s="263"/>
      <c r="G108" s="262">
        <v>8291</v>
      </c>
      <c r="H108" s="116">
        <v>55000</v>
      </c>
      <c r="I108" s="100">
        <f t="shared" si="27"/>
        <v>4583.333333333333</v>
      </c>
      <c r="J108" s="100">
        <f t="shared" si="27"/>
        <v>4583.333333333333</v>
      </c>
      <c r="K108" s="100">
        <f t="shared" si="27"/>
        <v>4583.333333333333</v>
      </c>
      <c r="L108" s="100">
        <f t="shared" si="27"/>
        <v>4583.333333333333</v>
      </c>
      <c r="M108" s="100">
        <f t="shared" si="27"/>
        <v>4583.333333333333</v>
      </c>
      <c r="N108" s="100">
        <f t="shared" si="27"/>
        <v>4583.333333333333</v>
      </c>
      <c r="O108" s="100">
        <f t="shared" si="27"/>
        <v>4583.333333333333</v>
      </c>
      <c r="P108" s="100">
        <f t="shared" si="27"/>
        <v>4583.333333333333</v>
      </c>
      <c r="Q108" s="100">
        <f t="shared" si="27"/>
        <v>4583.333333333333</v>
      </c>
      <c r="R108" s="100">
        <f t="shared" si="27"/>
        <v>4583.333333333333</v>
      </c>
      <c r="S108" s="100">
        <f t="shared" si="27"/>
        <v>4583.333333333333</v>
      </c>
      <c r="T108" s="100">
        <f t="shared" si="27"/>
        <v>4583.333333333333</v>
      </c>
      <c r="U108" s="100">
        <f t="shared" si="28"/>
        <v>55000.000000000007</v>
      </c>
    </row>
    <row r="109" spans="1:21" outlineLevel="2" x14ac:dyDescent="0.2">
      <c r="A109" s="231" t="s">
        <v>495</v>
      </c>
      <c r="B109" s="262" t="s">
        <v>346</v>
      </c>
      <c r="C109" s="262">
        <v>1</v>
      </c>
      <c r="D109" s="262"/>
      <c r="E109" s="262"/>
      <c r="F109" s="263"/>
      <c r="G109" s="262">
        <v>8291</v>
      </c>
      <c r="H109" s="116">
        <v>55000</v>
      </c>
      <c r="I109" s="100">
        <f t="shared" si="27"/>
        <v>4583.333333333333</v>
      </c>
      <c r="J109" s="100">
        <f t="shared" si="27"/>
        <v>4583.333333333333</v>
      </c>
      <c r="K109" s="100">
        <f t="shared" si="27"/>
        <v>4583.333333333333</v>
      </c>
      <c r="L109" s="100">
        <f t="shared" si="27"/>
        <v>4583.333333333333</v>
      </c>
      <c r="M109" s="100">
        <f t="shared" si="27"/>
        <v>4583.333333333333</v>
      </c>
      <c r="N109" s="100">
        <f t="shared" si="27"/>
        <v>4583.333333333333</v>
      </c>
      <c r="O109" s="100">
        <f t="shared" si="27"/>
        <v>4583.333333333333</v>
      </c>
      <c r="P109" s="100">
        <f t="shared" si="27"/>
        <v>4583.333333333333</v>
      </c>
      <c r="Q109" s="100">
        <f t="shared" si="27"/>
        <v>4583.333333333333</v>
      </c>
      <c r="R109" s="100">
        <f t="shared" si="27"/>
        <v>4583.333333333333</v>
      </c>
      <c r="S109" s="100">
        <f t="shared" si="27"/>
        <v>4583.333333333333</v>
      </c>
      <c r="T109" s="100">
        <f t="shared" si="27"/>
        <v>4583.333333333333</v>
      </c>
      <c r="U109" s="100">
        <f t="shared" si="28"/>
        <v>55000.000000000007</v>
      </c>
    </row>
    <row r="110" spans="1:21" outlineLevel="2" x14ac:dyDescent="0.2">
      <c r="A110" s="231" t="s">
        <v>495</v>
      </c>
      <c r="B110" s="262" t="s">
        <v>347</v>
      </c>
      <c r="C110" s="262">
        <v>1</v>
      </c>
      <c r="D110" s="262"/>
      <c r="E110" s="262"/>
      <c r="F110" s="263"/>
      <c r="G110" s="262">
        <v>8291</v>
      </c>
      <c r="H110" s="116">
        <v>55000</v>
      </c>
      <c r="I110" s="100">
        <f t="shared" ref="I110:T131" si="30">IF(I$5&gt;=$C110,$H110/12,0)</f>
        <v>4583.333333333333</v>
      </c>
      <c r="J110" s="100">
        <f t="shared" si="30"/>
        <v>4583.333333333333</v>
      </c>
      <c r="K110" s="100">
        <f t="shared" si="30"/>
        <v>4583.333333333333</v>
      </c>
      <c r="L110" s="100">
        <f t="shared" si="30"/>
        <v>4583.333333333333</v>
      </c>
      <c r="M110" s="100">
        <f t="shared" si="30"/>
        <v>4583.333333333333</v>
      </c>
      <c r="N110" s="100">
        <f t="shared" si="30"/>
        <v>4583.333333333333</v>
      </c>
      <c r="O110" s="100">
        <f t="shared" si="30"/>
        <v>4583.333333333333</v>
      </c>
      <c r="P110" s="100">
        <f t="shared" si="30"/>
        <v>4583.333333333333</v>
      </c>
      <c r="Q110" s="100">
        <f t="shared" si="30"/>
        <v>4583.333333333333</v>
      </c>
      <c r="R110" s="100">
        <f t="shared" si="30"/>
        <v>4583.333333333333</v>
      </c>
      <c r="S110" s="100">
        <f t="shared" si="30"/>
        <v>4583.333333333333</v>
      </c>
      <c r="T110" s="100">
        <f t="shared" si="30"/>
        <v>4583.333333333333</v>
      </c>
      <c r="U110" s="100">
        <f t="shared" si="28"/>
        <v>55000.000000000007</v>
      </c>
    </row>
    <row r="111" spans="1:21" outlineLevel="2" x14ac:dyDescent="0.2">
      <c r="A111" s="231" t="s">
        <v>495</v>
      </c>
      <c r="B111" s="262" t="s">
        <v>348</v>
      </c>
      <c r="C111" s="262">
        <v>1</v>
      </c>
      <c r="D111" s="262"/>
      <c r="E111" s="262"/>
      <c r="F111" s="263"/>
      <c r="G111" s="262">
        <v>8291</v>
      </c>
      <c r="H111" s="116">
        <v>55000</v>
      </c>
      <c r="I111" s="100">
        <f t="shared" si="30"/>
        <v>4583.333333333333</v>
      </c>
      <c r="J111" s="100">
        <f t="shared" si="30"/>
        <v>4583.333333333333</v>
      </c>
      <c r="K111" s="100">
        <f t="shared" si="30"/>
        <v>4583.333333333333</v>
      </c>
      <c r="L111" s="100">
        <f t="shared" si="30"/>
        <v>4583.333333333333</v>
      </c>
      <c r="M111" s="100">
        <f t="shared" si="30"/>
        <v>4583.333333333333</v>
      </c>
      <c r="N111" s="100">
        <f t="shared" si="30"/>
        <v>4583.333333333333</v>
      </c>
      <c r="O111" s="100">
        <f t="shared" si="30"/>
        <v>4583.333333333333</v>
      </c>
      <c r="P111" s="100">
        <f t="shared" si="30"/>
        <v>4583.333333333333</v>
      </c>
      <c r="Q111" s="100">
        <f t="shared" si="30"/>
        <v>4583.333333333333</v>
      </c>
      <c r="R111" s="100">
        <f t="shared" si="30"/>
        <v>4583.333333333333</v>
      </c>
      <c r="S111" s="100">
        <f t="shared" si="30"/>
        <v>4583.333333333333</v>
      </c>
      <c r="T111" s="100">
        <f t="shared" si="30"/>
        <v>4583.333333333333</v>
      </c>
      <c r="U111" s="100">
        <f t="shared" si="28"/>
        <v>55000.000000000007</v>
      </c>
    </row>
    <row r="112" spans="1:21" outlineLevel="2" x14ac:dyDescent="0.2">
      <c r="A112" s="231" t="s">
        <v>495</v>
      </c>
      <c r="B112" s="262" t="s">
        <v>349</v>
      </c>
      <c r="C112" s="262">
        <v>1</v>
      </c>
      <c r="D112" s="262"/>
      <c r="E112" s="262"/>
      <c r="F112" s="263"/>
      <c r="G112" s="262">
        <v>8291</v>
      </c>
      <c r="H112" s="116">
        <v>55000</v>
      </c>
      <c r="I112" s="100">
        <f t="shared" si="30"/>
        <v>4583.333333333333</v>
      </c>
      <c r="J112" s="100">
        <f t="shared" si="30"/>
        <v>4583.333333333333</v>
      </c>
      <c r="K112" s="100">
        <f t="shared" si="30"/>
        <v>4583.333333333333</v>
      </c>
      <c r="L112" s="100">
        <f t="shared" si="30"/>
        <v>4583.333333333333</v>
      </c>
      <c r="M112" s="100">
        <f t="shared" si="30"/>
        <v>4583.333333333333</v>
      </c>
      <c r="N112" s="100">
        <f t="shared" si="30"/>
        <v>4583.333333333333</v>
      </c>
      <c r="O112" s="100">
        <f t="shared" si="30"/>
        <v>4583.333333333333</v>
      </c>
      <c r="P112" s="100">
        <f t="shared" si="30"/>
        <v>4583.333333333333</v>
      </c>
      <c r="Q112" s="100">
        <f t="shared" si="30"/>
        <v>4583.333333333333</v>
      </c>
      <c r="R112" s="100">
        <f t="shared" si="30"/>
        <v>4583.333333333333</v>
      </c>
      <c r="S112" s="100">
        <f t="shared" si="30"/>
        <v>4583.333333333333</v>
      </c>
      <c r="T112" s="100">
        <f t="shared" si="30"/>
        <v>4583.333333333333</v>
      </c>
      <c r="U112" s="100">
        <f t="shared" si="28"/>
        <v>55000.000000000007</v>
      </c>
    </row>
    <row r="113" spans="1:21" outlineLevel="2" x14ac:dyDescent="0.2">
      <c r="A113" s="231" t="s">
        <v>495</v>
      </c>
      <c r="B113" s="262" t="s">
        <v>350</v>
      </c>
      <c r="C113" s="262">
        <v>3</v>
      </c>
      <c r="D113" s="262"/>
      <c r="E113" s="262"/>
      <c r="F113" s="263"/>
      <c r="G113" s="262">
        <v>8291</v>
      </c>
      <c r="H113" s="116">
        <v>55000</v>
      </c>
      <c r="I113" s="100">
        <f t="shared" si="30"/>
        <v>0</v>
      </c>
      <c r="J113" s="100">
        <f t="shared" si="30"/>
        <v>0</v>
      </c>
      <c r="K113" s="100">
        <f t="shared" si="30"/>
        <v>4583.333333333333</v>
      </c>
      <c r="L113" s="100">
        <f t="shared" si="30"/>
        <v>4583.333333333333</v>
      </c>
      <c r="M113" s="100">
        <f t="shared" si="30"/>
        <v>4583.333333333333</v>
      </c>
      <c r="N113" s="100">
        <f t="shared" si="30"/>
        <v>4583.333333333333</v>
      </c>
      <c r="O113" s="100">
        <f t="shared" si="30"/>
        <v>4583.333333333333</v>
      </c>
      <c r="P113" s="100">
        <f t="shared" si="30"/>
        <v>4583.333333333333</v>
      </c>
      <c r="Q113" s="100">
        <f t="shared" si="30"/>
        <v>4583.333333333333</v>
      </c>
      <c r="R113" s="100">
        <f t="shared" si="30"/>
        <v>4583.333333333333</v>
      </c>
      <c r="S113" s="100">
        <f t="shared" si="30"/>
        <v>4583.333333333333</v>
      </c>
      <c r="T113" s="100">
        <f t="shared" si="30"/>
        <v>4583.333333333333</v>
      </c>
      <c r="U113" s="100">
        <f t="shared" si="28"/>
        <v>45833.333333333336</v>
      </c>
    </row>
    <row r="114" spans="1:21" outlineLevel="2" x14ac:dyDescent="0.2">
      <c r="A114" s="231" t="s">
        <v>495</v>
      </c>
      <c r="B114" s="262" t="s">
        <v>351</v>
      </c>
      <c r="C114" s="262">
        <v>3</v>
      </c>
      <c r="D114" s="262"/>
      <c r="E114" s="262"/>
      <c r="F114" s="263"/>
      <c r="G114" s="262">
        <v>8291</v>
      </c>
      <c r="H114" s="116">
        <v>55000</v>
      </c>
      <c r="I114" s="100">
        <f t="shared" si="30"/>
        <v>0</v>
      </c>
      <c r="J114" s="100">
        <f t="shared" si="30"/>
        <v>0</v>
      </c>
      <c r="K114" s="100">
        <f t="shared" si="30"/>
        <v>4583.333333333333</v>
      </c>
      <c r="L114" s="100">
        <f t="shared" si="30"/>
        <v>4583.333333333333</v>
      </c>
      <c r="M114" s="100">
        <f t="shared" si="30"/>
        <v>4583.333333333333</v>
      </c>
      <c r="N114" s="100">
        <f t="shared" si="30"/>
        <v>4583.333333333333</v>
      </c>
      <c r="O114" s="100">
        <f t="shared" si="30"/>
        <v>4583.333333333333</v>
      </c>
      <c r="P114" s="100">
        <f t="shared" si="30"/>
        <v>4583.333333333333</v>
      </c>
      <c r="Q114" s="100">
        <f t="shared" si="30"/>
        <v>4583.333333333333</v>
      </c>
      <c r="R114" s="100">
        <f t="shared" si="30"/>
        <v>4583.333333333333</v>
      </c>
      <c r="S114" s="100">
        <f t="shared" si="30"/>
        <v>4583.333333333333</v>
      </c>
      <c r="T114" s="100">
        <f t="shared" si="30"/>
        <v>4583.333333333333</v>
      </c>
      <c r="U114" s="100">
        <f t="shared" si="28"/>
        <v>45833.333333333336</v>
      </c>
    </row>
    <row r="115" spans="1:21" outlineLevel="2" x14ac:dyDescent="0.2">
      <c r="A115" s="231" t="s">
        <v>495</v>
      </c>
      <c r="B115" s="262" t="s">
        <v>352</v>
      </c>
      <c r="C115" s="262">
        <v>3</v>
      </c>
      <c r="D115" s="262"/>
      <c r="E115" s="262"/>
      <c r="F115" s="263"/>
      <c r="G115" s="262">
        <v>8291</v>
      </c>
      <c r="H115" s="116">
        <v>55000</v>
      </c>
      <c r="I115" s="100">
        <f t="shared" si="30"/>
        <v>0</v>
      </c>
      <c r="J115" s="100">
        <f t="shared" si="30"/>
        <v>0</v>
      </c>
      <c r="K115" s="100">
        <f t="shared" si="30"/>
        <v>4583.333333333333</v>
      </c>
      <c r="L115" s="100">
        <f t="shared" si="30"/>
        <v>4583.333333333333</v>
      </c>
      <c r="M115" s="100">
        <f t="shared" si="30"/>
        <v>4583.333333333333</v>
      </c>
      <c r="N115" s="100">
        <f t="shared" si="30"/>
        <v>4583.333333333333</v>
      </c>
      <c r="O115" s="100">
        <f t="shared" si="30"/>
        <v>4583.333333333333</v>
      </c>
      <c r="P115" s="100">
        <f t="shared" si="30"/>
        <v>4583.333333333333</v>
      </c>
      <c r="Q115" s="100">
        <f t="shared" si="30"/>
        <v>4583.333333333333</v>
      </c>
      <c r="R115" s="100">
        <f t="shared" si="30"/>
        <v>4583.333333333333</v>
      </c>
      <c r="S115" s="100">
        <f t="shared" si="30"/>
        <v>4583.333333333333</v>
      </c>
      <c r="T115" s="100">
        <f t="shared" si="30"/>
        <v>4583.333333333333</v>
      </c>
      <c r="U115" s="100">
        <f t="shared" si="28"/>
        <v>45833.333333333336</v>
      </c>
    </row>
    <row r="116" spans="1:21" outlineLevel="2" x14ac:dyDescent="0.2">
      <c r="A116" s="231" t="s">
        <v>495</v>
      </c>
      <c r="B116" s="262" t="s">
        <v>358</v>
      </c>
      <c r="C116" s="262">
        <v>4</v>
      </c>
      <c r="D116" s="262"/>
      <c r="E116" s="262"/>
      <c r="F116" s="263"/>
      <c r="G116" s="262">
        <v>8291</v>
      </c>
      <c r="H116" s="116">
        <v>55000</v>
      </c>
      <c r="I116" s="100">
        <f t="shared" si="30"/>
        <v>0</v>
      </c>
      <c r="J116" s="100">
        <f t="shared" si="30"/>
        <v>0</v>
      </c>
      <c r="K116" s="100">
        <f t="shared" si="30"/>
        <v>0</v>
      </c>
      <c r="L116" s="100">
        <f t="shared" si="30"/>
        <v>4583.333333333333</v>
      </c>
      <c r="M116" s="100">
        <f t="shared" si="30"/>
        <v>4583.333333333333</v>
      </c>
      <c r="N116" s="100">
        <f t="shared" si="30"/>
        <v>4583.333333333333</v>
      </c>
      <c r="O116" s="100">
        <f t="shared" si="30"/>
        <v>4583.333333333333</v>
      </c>
      <c r="P116" s="100">
        <f t="shared" si="30"/>
        <v>4583.333333333333</v>
      </c>
      <c r="Q116" s="100">
        <f t="shared" si="30"/>
        <v>4583.333333333333</v>
      </c>
      <c r="R116" s="100">
        <f t="shared" si="30"/>
        <v>4583.333333333333</v>
      </c>
      <c r="S116" s="100">
        <f t="shared" si="30"/>
        <v>4583.333333333333</v>
      </c>
      <c r="T116" s="100">
        <f t="shared" si="30"/>
        <v>4583.333333333333</v>
      </c>
      <c r="U116" s="100">
        <f t="shared" si="28"/>
        <v>41250</v>
      </c>
    </row>
    <row r="117" spans="1:21" outlineLevel="2" x14ac:dyDescent="0.2">
      <c r="A117" s="231" t="s">
        <v>495</v>
      </c>
      <c r="B117" s="262" t="s">
        <v>359</v>
      </c>
      <c r="C117" s="262">
        <v>4</v>
      </c>
      <c r="D117" s="262"/>
      <c r="E117" s="262"/>
      <c r="F117" s="263"/>
      <c r="G117" s="262">
        <v>8291</v>
      </c>
      <c r="H117" s="116">
        <v>55000</v>
      </c>
      <c r="I117" s="100">
        <f t="shared" si="30"/>
        <v>0</v>
      </c>
      <c r="J117" s="100">
        <f t="shared" si="30"/>
        <v>0</v>
      </c>
      <c r="K117" s="100">
        <f t="shared" si="30"/>
        <v>0</v>
      </c>
      <c r="L117" s="100">
        <f t="shared" si="30"/>
        <v>4583.333333333333</v>
      </c>
      <c r="M117" s="100">
        <f t="shared" si="30"/>
        <v>4583.333333333333</v>
      </c>
      <c r="N117" s="100">
        <f t="shared" si="30"/>
        <v>4583.333333333333</v>
      </c>
      <c r="O117" s="100">
        <f t="shared" si="30"/>
        <v>4583.333333333333</v>
      </c>
      <c r="P117" s="100">
        <f t="shared" si="30"/>
        <v>4583.333333333333</v>
      </c>
      <c r="Q117" s="100">
        <f t="shared" si="30"/>
        <v>4583.333333333333</v>
      </c>
      <c r="R117" s="100">
        <f t="shared" si="30"/>
        <v>4583.333333333333</v>
      </c>
      <c r="S117" s="100">
        <f t="shared" si="30"/>
        <v>4583.333333333333</v>
      </c>
      <c r="T117" s="100">
        <f t="shared" si="30"/>
        <v>4583.333333333333</v>
      </c>
      <c r="U117" s="100">
        <f t="shared" si="28"/>
        <v>41250</v>
      </c>
    </row>
    <row r="118" spans="1:21" outlineLevel="2" x14ac:dyDescent="0.2">
      <c r="A118" s="231" t="s">
        <v>495</v>
      </c>
      <c r="B118" s="262" t="s">
        <v>360</v>
      </c>
      <c r="C118" s="262">
        <v>4</v>
      </c>
      <c r="D118" s="262"/>
      <c r="E118" s="262"/>
      <c r="F118" s="263"/>
      <c r="G118" s="262">
        <v>8291</v>
      </c>
      <c r="H118" s="116">
        <v>55000</v>
      </c>
      <c r="I118" s="100">
        <f t="shared" si="30"/>
        <v>0</v>
      </c>
      <c r="J118" s="100">
        <f t="shared" si="30"/>
        <v>0</v>
      </c>
      <c r="K118" s="100">
        <f t="shared" si="30"/>
        <v>0</v>
      </c>
      <c r="L118" s="100">
        <f t="shared" si="30"/>
        <v>4583.333333333333</v>
      </c>
      <c r="M118" s="100">
        <f t="shared" si="30"/>
        <v>4583.333333333333</v>
      </c>
      <c r="N118" s="100">
        <f t="shared" si="30"/>
        <v>4583.333333333333</v>
      </c>
      <c r="O118" s="100">
        <f t="shared" si="30"/>
        <v>4583.333333333333</v>
      </c>
      <c r="P118" s="100">
        <f t="shared" si="30"/>
        <v>4583.333333333333</v>
      </c>
      <c r="Q118" s="100">
        <f t="shared" si="30"/>
        <v>4583.333333333333</v>
      </c>
      <c r="R118" s="100">
        <f t="shared" si="30"/>
        <v>4583.333333333333</v>
      </c>
      <c r="S118" s="100">
        <f t="shared" si="30"/>
        <v>4583.333333333333</v>
      </c>
      <c r="T118" s="100">
        <f t="shared" si="30"/>
        <v>4583.333333333333</v>
      </c>
      <c r="U118" s="100">
        <f t="shared" si="28"/>
        <v>41250</v>
      </c>
    </row>
    <row r="119" spans="1:21" outlineLevel="2" x14ac:dyDescent="0.2">
      <c r="A119" s="231" t="s">
        <v>495</v>
      </c>
      <c r="B119" s="262" t="s">
        <v>361</v>
      </c>
      <c r="C119" s="262">
        <v>5</v>
      </c>
      <c r="D119" s="262"/>
      <c r="E119" s="262"/>
      <c r="F119" s="263"/>
      <c r="G119" s="262">
        <v>8291</v>
      </c>
      <c r="H119" s="116">
        <v>55000</v>
      </c>
      <c r="I119" s="100">
        <f t="shared" si="30"/>
        <v>0</v>
      </c>
      <c r="J119" s="100">
        <f t="shared" si="30"/>
        <v>0</v>
      </c>
      <c r="K119" s="100">
        <f t="shared" si="30"/>
        <v>0</v>
      </c>
      <c r="L119" s="100">
        <f t="shared" si="30"/>
        <v>0</v>
      </c>
      <c r="M119" s="100">
        <f t="shared" si="30"/>
        <v>4583.333333333333</v>
      </c>
      <c r="N119" s="100">
        <f t="shared" si="30"/>
        <v>4583.333333333333</v>
      </c>
      <c r="O119" s="100">
        <f t="shared" si="30"/>
        <v>4583.333333333333</v>
      </c>
      <c r="P119" s="100">
        <f t="shared" si="30"/>
        <v>4583.333333333333</v>
      </c>
      <c r="Q119" s="100">
        <f t="shared" si="30"/>
        <v>4583.333333333333</v>
      </c>
      <c r="R119" s="100">
        <f t="shared" si="30"/>
        <v>4583.333333333333</v>
      </c>
      <c r="S119" s="100">
        <f t="shared" si="30"/>
        <v>4583.333333333333</v>
      </c>
      <c r="T119" s="100">
        <f t="shared" si="30"/>
        <v>4583.333333333333</v>
      </c>
      <c r="U119" s="100">
        <f t="shared" si="28"/>
        <v>36666.666666666664</v>
      </c>
    </row>
    <row r="120" spans="1:21" outlineLevel="2" x14ac:dyDescent="0.2">
      <c r="A120" s="231" t="s">
        <v>495</v>
      </c>
      <c r="B120" s="262" t="s">
        <v>362</v>
      </c>
      <c r="C120" s="262">
        <v>5</v>
      </c>
      <c r="D120" s="262"/>
      <c r="E120" s="262"/>
      <c r="F120" s="263"/>
      <c r="G120" s="262">
        <v>8291</v>
      </c>
      <c r="H120" s="116">
        <v>55000</v>
      </c>
      <c r="I120" s="100">
        <f t="shared" si="30"/>
        <v>0</v>
      </c>
      <c r="J120" s="100">
        <f t="shared" si="30"/>
        <v>0</v>
      </c>
      <c r="K120" s="100">
        <f t="shared" si="30"/>
        <v>0</v>
      </c>
      <c r="L120" s="100">
        <f t="shared" si="30"/>
        <v>0</v>
      </c>
      <c r="M120" s="100">
        <f t="shared" si="30"/>
        <v>4583.333333333333</v>
      </c>
      <c r="N120" s="100">
        <f t="shared" si="30"/>
        <v>4583.333333333333</v>
      </c>
      <c r="O120" s="100">
        <f t="shared" si="30"/>
        <v>4583.333333333333</v>
      </c>
      <c r="P120" s="100">
        <f t="shared" si="30"/>
        <v>4583.333333333333</v>
      </c>
      <c r="Q120" s="100">
        <f t="shared" si="30"/>
        <v>4583.333333333333</v>
      </c>
      <c r="R120" s="100">
        <f t="shared" si="30"/>
        <v>4583.333333333333</v>
      </c>
      <c r="S120" s="100">
        <f t="shared" si="30"/>
        <v>4583.333333333333</v>
      </c>
      <c r="T120" s="100">
        <f t="shared" si="30"/>
        <v>4583.333333333333</v>
      </c>
      <c r="U120" s="100">
        <f t="shared" si="28"/>
        <v>36666.666666666664</v>
      </c>
    </row>
    <row r="121" spans="1:21" outlineLevel="2" x14ac:dyDescent="0.2">
      <c r="A121" s="231" t="s">
        <v>495</v>
      </c>
      <c r="B121" s="262" t="s">
        <v>363</v>
      </c>
      <c r="C121" s="262">
        <v>6</v>
      </c>
      <c r="D121" s="262"/>
      <c r="E121" s="262"/>
      <c r="F121" s="263"/>
      <c r="G121" s="262">
        <v>8291</v>
      </c>
      <c r="H121" s="116">
        <v>55000</v>
      </c>
      <c r="I121" s="100">
        <f t="shared" si="30"/>
        <v>0</v>
      </c>
      <c r="J121" s="100">
        <f t="shared" si="30"/>
        <v>0</v>
      </c>
      <c r="K121" s="100">
        <f t="shared" si="30"/>
        <v>0</v>
      </c>
      <c r="L121" s="100">
        <f t="shared" si="30"/>
        <v>0</v>
      </c>
      <c r="M121" s="100">
        <f t="shared" si="30"/>
        <v>0</v>
      </c>
      <c r="N121" s="100">
        <f t="shared" si="30"/>
        <v>4583.333333333333</v>
      </c>
      <c r="O121" s="100">
        <f t="shared" si="30"/>
        <v>4583.333333333333</v>
      </c>
      <c r="P121" s="100">
        <f t="shared" si="30"/>
        <v>4583.333333333333</v>
      </c>
      <c r="Q121" s="100">
        <f t="shared" si="30"/>
        <v>4583.333333333333</v>
      </c>
      <c r="R121" s="100">
        <f t="shared" si="30"/>
        <v>4583.333333333333</v>
      </c>
      <c r="S121" s="100">
        <f t="shared" si="30"/>
        <v>4583.333333333333</v>
      </c>
      <c r="T121" s="100">
        <f t="shared" si="30"/>
        <v>4583.333333333333</v>
      </c>
      <c r="U121" s="100">
        <f t="shared" si="28"/>
        <v>32083.333333333328</v>
      </c>
    </row>
    <row r="122" spans="1:21" outlineLevel="2" x14ac:dyDescent="0.2">
      <c r="A122" s="231" t="s">
        <v>495</v>
      </c>
      <c r="B122" s="262" t="s">
        <v>364</v>
      </c>
      <c r="C122" s="262">
        <v>6</v>
      </c>
      <c r="D122" s="262"/>
      <c r="E122" s="262"/>
      <c r="F122" s="263"/>
      <c r="G122" s="262">
        <v>8291</v>
      </c>
      <c r="H122" s="116">
        <v>55000</v>
      </c>
      <c r="I122" s="100">
        <f t="shared" si="30"/>
        <v>0</v>
      </c>
      <c r="J122" s="100">
        <f t="shared" si="30"/>
        <v>0</v>
      </c>
      <c r="K122" s="100">
        <f t="shared" si="30"/>
        <v>0</v>
      </c>
      <c r="L122" s="100">
        <f t="shared" si="30"/>
        <v>0</v>
      </c>
      <c r="M122" s="100">
        <f t="shared" si="30"/>
        <v>0</v>
      </c>
      <c r="N122" s="100">
        <f t="shared" si="30"/>
        <v>4583.333333333333</v>
      </c>
      <c r="O122" s="100">
        <f t="shared" si="30"/>
        <v>4583.333333333333</v>
      </c>
      <c r="P122" s="100">
        <f t="shared" si="30"/>
        <v>4583.333333333333</v>
      </c>
      <c r="Q122" s="100">
        <f t="shared" si="30"/>
        <v>4583.333333333333</v>
      </c>
      <c r="R122" s="100">
        <f t="shared" si="30"/>
        <v>4583.333333333333</v>
      </c>
      <c r="S122" s="100">
        <f t="shared" si="30"/>
        <v>4583.333333333333</v>
      </c>
      <c r="T122" s="100">
        <f t="shared" si="30"/>
        <v>4583.333333333333</v>
      </c>
      <c r="U122" s="100">
        <f t="shared" si="28"/>
        <v>32083.333333333328</v>
      </c>
    </row>
    <row r="123" spans="1:21" outlineLevel="2" x14ac:dyDescent="0.2">
      <c r="A123" s="231" t="s">
        <v>495</v>
      </c>
      <c r="B123" s="262" t="s">
        <v>365</v>
      </c>
      <c r="C123" s="262">
        <v>7</v>
      </c>
      <c r="D123" s="262"/>
      <c r="E123" s="262"/>
      <c r="F123" s="263"/>
      <c r="G123" s="262">
        <v>8291</v>
      </c>
      <c r="H123" s="116">
        <v>55000</v>
      </c>
      <c r="I123" s="100">
        <f t="shared" si="30"/>
        <v>0</v>
      </c>
      <c r="J123" s="100">
        <f t="shared" si="30"/>
        <v>0</v>
      </c>
      <c r="K123" s="100">
        <f t="shared" si="30"/>
        <v>0</v>
      </c>
      <c r="L123" s="100">
        <f t="shared" si="30"/>
        <v>0</v>
      </c>
      <c r="M123" s="100">
        <f t="shared" si="30"/>
        <v>0</v>
      </c>
      <c r="N123" s="100">
        <f t="shared" si="30"/>
        <v>0</v>
      </c>
      <c r="O123" s="100">
        <f t="shared" si="30"/>
        <v>4583.333333333333</v>
      </c>
      <c r="P123" s="100">
        <f t="shared" si="30"/>
        <v>4583.333333333333</v>
      </c>
      <c r="Q123" s="100">
        <f t="shared" si="30"/>
        <v>4583.333333333333</v>
      </c>
      <c r="R123" s="100">
        <f t="shared" si="30"/>
        <v>4583.333333333333</v>
      </c>
      <c r="S123" s="100">
        <f t="shared" si="30"/>
        <v>4583.333333333333</v>
      </c>
      <c r="T123" s="100">
        <f t="shared" si="30"/>
        <v>4583.333333333333</v>
      </c>
      <c r="U123" s="100">
        <f t="shared" si="28"/>
        <v>27499.999999999996</v>
      </c>
    </row>
    <row r="124" spans="1:21" outlineLevel="2" x14ac:dyDescent="0.2">
      <c r="A124" s="231" t="s">
        <v>495</v>
      </c>
      <c r="B124" s="262" t="s">
        <v>366</v>
      </c>
      <c r="C124" s="262">
        <v>7</v>
      </c>
      <c r="D124" s="262"/>
      <c r="E124" s="262"/>
      <c r="F124" s="263"/>
      <c r="G124" s="262">
        <v>8291</v>
      </c>
      <c r="H124" s="116">
        <v>55000</v>
      </c>
      <c r="I124" s="100">
        <f t="shared" si="30"/>
        <v>0</v>
      </c>
      <c r="J124" s="100">
        <f t="shared" si="30"/>
        <v>0</v>
      </c>
      <c r="K124" s="100">
        <f t="shared" si="30"/>
        <v>0</v>
      </c>
      <c r="L124" s="100">
        <f t="shared" si="30"/>
        <v>0</v>
      </c>
      <c r="M124" s="100">
        <f t="shared" si="30"/>
        <v>0</v>
      </c>
      <c r="N124" s="100">
        <f t="shared" si="30"/>
        <v>0</v>
      </c>
      <c r="O124" s="100">
        <f t="shared" si="30"/>
        <v>4583.333333333333</v>
      </c>
      <c r="P124" s="100">
        <f t="shared" si="30"/>
        <v>4583.333333333333</v>
      </c>
      <c r="Q124" s="100">
        <f t="shared" si="30"/>
        <v>4583.333333333333</v>
      </c>
      <c r="R124" s="100">
        <f t="shared" si="30"/>
        <v>4583.333333333333</v>
      </c>
      <c r="S124" s="100">
        <f t="shared" si="30"/>
        <v>4583.333333333333</v>
      </c>
      <c r="T124" s="100">
        <f t="shared" si="30"/>
        <v>4583.333333333333</v>
      </c>
      <c r="U124" s="100">
        <f t="shared" si="28"/>
        <v>27499.999999999996</v>
      </c>
    </row>
    <row r="125" spans="1:21" outlineLevel="2" x14ac:dyDescent="0.2">
      <c r="A125" s="231" t="s">
        <v>495</v>
      </c>
      <c r="B125" s="262" t="s">
        <v>367</v>
      </c>
      <c r="C125" s="262">
        <v>8</v>
      </c>
      <c r="D125" s="262"/>
      <c r="E125" s="262"/>
      <c r="F125" s="263"/>
      <c r="G125" s="262">
        <v>8291</v>
      </c>
      <c r="H125" s="116">
        <v>55000</v>
      </c>
      <c r="I125" s="100">
        <f t="shared" si="30"/>
        <v>0</v>
      </c>
      <c r="J125" s="100">
        <f t="shared" si="30"/>
        <v>0</v>
      </c>
      <c r="K125" s="100">
        <f t="shared" si="30"/>
        <v>0</v>
      </c>
      <c r="L125" s="100">
        <f t="shared" si="30"/>
        <v>0</v>
      </c>
      <c r="M125" s="100">
        <f t="shared" si="30"/>
        <v>0</v>
      </c>
      <c r="N125" s="100">
        <f t="shared" si="30"/>
        <v>0</v>
      </c>
      <c r="O125" s="100">
        <f t="shared" si="30"/>
        <v>0</v>
      </c>
      <c r="P125" s="100">
        <f t="shared" si="30"/>
        <v>4583.333333333333</v>
      </c>
      <c r="Q125" s="100">
        <f t="shared" si="30"/>
        <v>4583.333333333333</v>
      </c>
      <c r="R125" s="100">
        <f t="shared" si="30"/>
        <v>4583.333333333333</v>
      </c>
      <c r="S125" s="100">
        <f t="shared" si="30"/>
        <v>4583.333333333333</v>
      </c>
      <c r="T125" s="100">
        <f t="shared" si="30"/>
        <v>4583.333333333333</v>
      </c>
      <c r="U125" s="100">
        <f t="shared" si="28"/>
        <v>22916.666666666664</v>
      </c>
    </row>
    <row r="126" spans="1:21" outlineLevel="2" x14ac:dyDescent="0.2">
      <c r="A126" s="231" t="s">
        <v>495</v>
      </c>
      <c r="B126" s="262" t="s">
        <v>368</v>
      </c>
      <c r="C126" s="262">
        <v>8</v>
      </c>
      <c r="D126" s="262"/>
      <c r="E126" s="262"/>
      <c r="F126" s="263"/>
      <c r="G126" s="262">
        <v>8291</v>
      </c>
      <c r="H126" s="116">
        <v>55000</v>
      </c>
      <c r="I126" s="100">
        <f t="shared" si="30"/>
        <v>0</v>
      </c>
      <c r="J126" s="100">
        <f t="shared" si="30"/>
        <v>0</v>
      </c>
      <c r="K126" s="100">
        <f t="shared" si="30"/>
        <v>0</v>
      </c>
      <c r="L126" s="100">
        <f t="shared" si="30"/>
        <v>0</v>
      </c>
      <c r="M126" s="100">
        <f t="shared" si="30"/>
        <v>0</v>
      </c>
      <c r="N126" s="100">
        <f t="shared" si="30"/>
        <v>0</v>
      </c>
      <c r="O126" s="100">
        <f t="shared" si="30"/>
        <v>0</v>
      </c>
      <c r="P126" s="100">
        <f t="shared" si="30"/>
        <v>4583.333333333333</v>
      </c>
      <c r="Q126" s="100">
        <f t="shared" si="30"/>
        <v>4583.333333333333</v>
      </c>
      <c r="R126" s="100">
        <f t="shared" si="30"/>
        <v>4583.333333333333</v>
      </c>
      <c r="S126" s="100">
        <f t="shared" si="30"/>
        <v>4583.333333333333</v>
      </c>
      <c r="T126" s="100">
        <f t="shared" si="30"/>
        <v>4583.333333333333</v>
      </c>
      <c r="U126" s="100">
        <f t="shared" si="28"/>
        <v>22916.666666666664</v>
      </c>
    </row>
    <row r="127" spans="1:21" outlineLevel="2" x14ac:dyDescent="0.2">
      <c r="A127" s="231" t="s">
        <v>495</v>
      </c>
      <c r="B127" s="262" t="s">
        <v>369</v>
      </c>
      <c r="C127" s="262">
        <v>9</v>
      </c>
      <c r="D127" s="262"/>
      <c r="E127" s="262"/>
      <c r="F127" s="263"/>
      <c r="G127" s="262">
        <v>8291</v>
      </c>
      <c r="H127" s="116">
        <v>55000</v>
      </c>
      <c r="I127" s="100">
        <f t="shared" si="30"/>
        <v>0</v>
      </c>
      <c r="J127" s="100">
        <f t="shared" si="30"/>
        <v>0</v>
      </c>
      <c r="K127" s="100">
        <f t="shared" si="30"/>
        <v>0</v>
      </c>
      <c r="L127" s="100">
        <f t="shared" si="30"/>
        <v>0</v>
      </c>
      <c r="M127" s="100">
        <f t="shared" si="30"/>
        <v>0</v>
      </c>
      <c r="N127" s="100">
        <f t="shared" si="30"/>
        <v>0</v>
      </c>
      <c r="O127" s="100">
        <f t="shared" si="30"/>
        <v>0</v>
      </c>
      <c r="P127" s="100">
        <f t="shared" si="30"/>
        <v>0</v>
      </c>
      <c r="Q127" s="100">
        <f t="shared" si="30"/>
        <v>4583.333333333333</v>
      </c>
      <c r="R127" s="100">
        <f t="shared" si="30"/>
        <v>4583.333333333333</v>
      </c>
      <c r="S127" s="100">
        <f t="shared" si="30"/>
        <v>4583.333333333333</v>
      </c>
      <c r="T127" s="100">
        <f t="shared" si="30"/>
        <v>4583.333333333333</v>
      </c>
      <c r="U127" s="100">
        <f t="shared" si="28"/>
        <v>18333.333333333332</v>
      </c>
    </row>
    <row r="128" spans="1:21" outlineLevel="2" x14ac:dyDescent="0.2">
      <c r="A128" s="231" t="s">
        <v>495</v>
      </c>
      <c r="B128" s="262" t="s">
        <v>373</v>
      </c>
      <c r="C128" s="262">
        <v>9</v>
      </c>
      <c r="D128" s="262"/>
      <c r="E128" s="262"/>
      <c r="F128" s="263"/>
      <c r="G128" s="262">
        <v>8291</v>
      </c>
      <c r="H128" s="116">
        <v>55000</v>
      </c>
      <c r="I128" s="100">
        <f t="shared" si="30"/>
        <v>0</v>
      </c>
      <c r="J128" s="100">
        <f t="shared" si="30"/>
        <v>0</v>
      </c>
      <c r="K128" s="100">
        <f t="shared" si="30"/>
        <v>0</v>
      </c>
      <c r="L128" s="100">
        <f t="shared" si="30"/>
        <v>0</v>
      </c>
      <c r="M128" s="100">
        <f t="shared" si="30"/>
        <v>0</v>
      </c>
      <c r="N128" s="100">
        <f t="shared" si="30"/>
        <v>0</v>
      </c>
      <c r="O128" s="100">
        <f t="shared" si="30"/>
        <v>0</v>
      </c>
      <c r="P128" s="100">
        <f t="shared" si="30"/>
        <v>0</v>
      </c>
      <c r="Q128" s="100">
        <f t="shared" si="30"/>
        <v>4583.333333333333</v>
      </c>
      <c r="R128" s="100">
        <f t="shared" si="30"/>
        <v>4583.333333333333</v>
      </c>
      <c r="S128" s="100">
        <f t="shared" si="30"/>
        <v>4583.333333333333</v>
      </c>
      <c r="T128" s="100">
        <f t="shared" si="30"/>
        <v>4583.333333333333</v>
      </c>
      <c r="U128" s="100">
        <f t="shared" si="28"/>
        <v>18333.333333333332</v>
      </c>
    </row>
    <row r="129" spans="1:21" outlineLevel="2" x14ac:dyDescent="0.2">
      <c r="A129" s="231" t="s">
        <v>495</v>
      </c>
      <c r="B129" s="262" t="s">
        <v>374</v>
      </c>
      <c r="C129" s="262">
        <v>10</v>
      </c>
      <c r="D129" s="262"/>
      <c r="E129" s="262"/>
      <c r="F129" s="263"/>
      <c r="G129" s="262">
        <v>8291</v>
      </c>
      <c r="H129" s="116">
        <v>55000</v>
      </c>
      <c r="I129" s="100">
        <f t="shared" si="30"/>
        <v>0</v>
      </c>
      <c r="J129" s="100">
        <f t="shared" si="30"/>
        <v>0</v>
      </c>
      <c r="K129" s="100">
        <f t="shared" si="30"/>
        <v>0</v>
      </c>
      <c r="L129" s="100">
        <f t="shared" si="30"/>
        <v>0</v>
      </c>
      <c r="M129" s="100">
        <f t="shared" si="30"/>
        <v>0</v>
      </c>
      <c r="N129" s="100">
        <f t="shared" si="30"/>
        <v>0</v>
      </c>
      <c r="O129" s="100">
        <f t="shared" si="30"/>
        <v>0</v>
      </c>
      <c r="P129" s="100">
        <f t="shared" si="30"/>
        <v>0</v>
      </c>
      <c r="Q129" s="100">
        <f t="shared" si="30"/>
        <v>0</v>
      </c>
      <c r="R129" s="100">
        <f t="shared" si="30"/>
        <v>4583.333333333333</v>
      </c>
      <c r="S129" s="100">
        <f t="shared" si="30"/>
        <v>4583.333333333333</v>
      </c>
      <c r="T129" s="100">
        <f t="shared" si="30"/>
        <v>4583.333333333333</v>
      </c>
      <c r="U129" s="100">
        <f t="shared" si="28"/>
        <v>13750</v>
      </c>
    </row>
    <row r="130" spans="1:21" outlineLevel="2" x14ac:dyDescent="0.2">
      <c r="A130" s="231" t="s">
        <v>495</v>
      </c>
      <c r="B130" s="262" t="s">
        <v>375</v>
      </c>
      <c r="C130" s="262">
        <v>10</v>
      </c>
      <c r="D130" s="262"/>
      <c r="E130" s="262"/>
      <c r="F130" s="263"/>
      <c r="G130" s="262">
        <v>8291</v>
      </c>
      <c r="H130" s="116">
        <v>55000</v>
      </c>
      <c r="I130" s="100">
        <f t="shared" si="30"/>
        <v>0</v>
      </c>
      <c r="J130" s="100">
        <f t="shared" si="30"/>
        <v>0</v>
      </c>
      <c r="K130" s="100">
        <f t="shared" si="30"/>
        <v>0</v>
      </c>
      <c r="L130" s="100">
        <f t="shared" si="30"/>
        <v>0</v>
      </c>
      <c r="M130" s="100">
        <f t="shared" si="30"/>
        <v>0</v>
      </c>
      <c r="N130" s="100">
        <f t="shared" si="30"/>
        <v>0</v>
      </c>
      <c r="O130" s="100">
        <f t="shared" si="30"/>
        <v>0</v>
      </c>
      <c r="P130" s="100">
        <f t="shared" si="30"/>
        <v>0</v>
      </c>
      <c r="Q130" s="100">
        <f t="shared" si="30"/>
        <v>0</v>
      </c>
      <c r="R130" s="100">
        <f t="shared" si="30"/>
        <v>4583.333333333333</v>
      </c>
      <c r="S130" s="100">
        <f t="shared" si="30"/>
        <v>4583.333333333333</v>
      </c>
      <c r="T130" s="100">
        <f t="shared" si="30"/>
        <v>4583.333333333333</v>
      </c>
      <c r="U130" s="100">
        <f t="shared" si="28"/>
        <v>13750</v>
      </c>
    </row>
    <row r="131" spans="1:21" outlineLevel="2" x14ac:dyDescent="0.2">
      <c r="A131" s="231" t="s">
        <v>495</v>
      </c>
      <c r="B131" s="262" t="s">
        <v>353</v>
      </c>
      <c r="C131" s="262">
        <v>1</v>
      </c>
      <c r="D131" s="262"/>
      <c r="E131" s="262"/>
      <c r="F131" s="263"/>
      <c r="G131" s="262">
        <v>8291</v>
      </c>
      <c r="H131" s="116">
        <v>60000</v>
      </c>
      <c r="I131" s="100">
        <f t="shared" si="30"/>
        <v>5000</v>
      </c>
      <c r="J131" s="100">
        <f t="shared" si="30"/>
        <v>5000</v>
      </c>
      <c r="K131" s="100">
        <f t="shared" si="30"/>
        <v>5000</v>
      </c>
      <c r="L131" s="100">
        <f t="shared" ref="L131:T131" si="31">IF(L$5&gt;=$C131,$H131/12,0)</f>
        <v>5000</v>
      </c>
      <c r="M131" s="100">
        <f t="shared" si="31"/>
        <v>5000</v>
      </c>
      <c r="N131" s="100">
        <f t="shared" si="31"/>
        <v>5000</v>
      </c>
      <c r="O131" s="100">
        <f t="shared" si="31"/>
        <v>5000</v>
      </c>
      <c r="P131" s="100">
        <f t="shared" si="31"/>
        <v>5000</v>
      </c>
      <c r="Q131" s="100">
        <f t="shared" si="31"/>
        <v>5000</v>
      </c>
      <c r="R131" s="100">
        <f t="shared" si="31"/>
        <v>5000</v>
      </c>
      <c r="S131" s="100">
        <f t="shared" si="31"/>
        <v>5000</v>
      </c>
      <c r="T131" s="100">
        <f t="shared" si="31"/>
        <v>5000</v>
      </c>
      <c r="U131" s="100">
        <f t="shared" si="28"/>
        <v>60000</v>
      </c>
    </row>
    <row r="132" spans="1:21" outlineLevel="2" x14ac:dyDescent="0.2">
      <c r="A132" s="231" t="s">
        <v>495</v>
      </c>
      <c r="B132" s="262" t="s">
        <v>354</v>
      </c>
      <c r="C132" s="262">
        <v>1</v>
      </c>
      <c r="D132" s="262"/>
      <c r="E132" s="262"/>
      <c r="F132" s="263"/>
      <c r="G132" s="262">
        <v>8291</v>
      </c>
      <c r="H132" s="116">
        <v>60000</v>
      </c>
      <c r="I132" s="100">
        <f t="shared" ref="I132:T138" si="32">IF(I$5&gt;=$C132,$H132/12,0)</f>
        <v>5000</v>
      </c>
      <c r="J132" s="100">
        <f t="shared" si="32"/>
        <v>5000</v>
      </c>
      <c r="K132" s="100">
        <f t="shared" si="32"/>
        <v>5000</v>
      </c>
      <c r="L132" s="100">
        <f t="shared" si="32"/>
        <v>5000</v>
      </c>
      <c r="M132" s="100">
        <f t="shared" si="32"/>
        <v>5000</v>
      </c>
      <c r="N132" s="100">
        <f t="shared" si="32"/>
        <v>5000</v>
      </c>
      <c r="O132" s="100">
        <f t="shared" si="32"/>
        <v>5000</v>
      </c>
      <c r="P132" s="100">
        <f t="shared" si="32"/>
        <v>5000</v>
      </c>
      <c r="Q132" s="100">
        <f t="shared" si="32"/>
        <v>5000</v>
      </c>
      <c r="R132" s="100">
        <f t="shared" si="32"/>
        <v>5000</v>
      </c>
      <c r="S132" s="100">
        <f t="shared" si="32"/>
        <v>5000</v>
      </c>
      <c r="T132" s="100">
        <f t="shared" si="32"/>
        <v>5000</v>
      </c>
      <c r="U132" s="100">
        <f t="shared" si="28"/>
        <v>60000</v>
      </c>
    </row>
    <row r="133" spans="1:21" outlineLevel="2" x14ac:dyDescent="0.2">
      <c r="A133" s="231" t="s">
        <v>495</v>
      </c>
      <c r="B133" s="262" t="s">
        <v>355</v>
      </c>
      <c r="C133" s="262">
        <v>1</v>
      </c>
      <c r="D133" s="262"/>
      <c r="E133" s="262"/>
      <c r="F133" s="263"/>
      <c r="G133" s="262">
        <v>8291</v>
      </c>
      <c r="H133" s="116">
        <v>60000</v>
      </c>
      <c r="I133" s="100">
        <f t="shared" si="32"/>
        <v>5000</v>
      </c>
      <c r="J133" s="100">
        <f t="shared" si="32"/>
        <v>5000</v>
      </c>
      <c r="K133" s="100">
        <f t="shared" si="32"/>
        <v>5000</v>
      </c>
      <c r="L133" s="100">
        <f t="shared" si="32"/>
        <v>5000</v>
      </c>
      <c r="M133" s="100">
        <f t="shared" si="32"/>
        <v>5000</v>
      </c>
      <c r="N133" s="100">
        <f t="shared" si="32"/>
        <v>5000</v>
      </c>
      <c r="O133" s="100">
        <f t="shared" si="32"/>
        <v>5000</v>
      </c>
      <c r="P133" s="100">
        <f t="shared" si="32"/>
        <v>5000</v>
      </c>
      <c r="Q133" s="100">
        <f t="shared" si="32"/>
        <v>5000</v>
      </c>
      <c r="R133" s="100">
        <f t="shared" si="32"/>
        <v>5000</v>
      </c>
      <c r="S133" s="100">
        <f t="shared" si="32"/>
        <v>5000</v>
      </c>
      <c r="T133" s="100">
        <f t="shared" si="32"/>
        <v>5000</v>
      </c>
      <c r="U133" s="100">
        <f t="shared" si="28"/>
        <v>60000</v>
      </c>
    </row>
    <row r="134" spans="1:21" outlineLevel="2" x14ac:dyDescent="0.2">
      <c r="A134" s="231" t="s">
        <v>495</v>
      </c>
      <c r="B134" s="262" t="s">
        <v>356</v>
      </c>
      <c r="C134" s="262">
        <v>1</v>
      </c>
      <c r="D134" s="262"/>
      <c r="E134" s="262"/>
      <c r="F134" s="263"/>
      <c r="G134" s="262">
        <v>8291</v>
      </c>
      <c r="H134" s="116">
        <v>60000</v>
      </c>
      <c r="I134" s="100">
        <f t="shared" si="32"/>
        <v>5000</v>
      </c>
      <c r="J134" s="100">
        <f t="shared" si="32"/>
        <v>5000</v>
      </c>
      <c r="K134" s="100">
        <f t="shared" si="32"/>
        <v>5000</v>
      </c>
      <c r="L134" s="100">
        <f t="shared" si="32"/>
        <v>5000</v>
      </c>
      <c r="M134" s="100">
        <f t="shared" si="32"/>
        <v>5000</v>
      </c>
      <c r="N134" s="100">
        <f t="shared" si="32"/>
        <v>5000</v>
      </c>
      <c r="O134" s="100">
        <f t="shared" si="32"/>
        <v>5000</v>
      </c>
      <c r="P134" s="100">
        <f t="shared" si="32"/>
        <v>5000</v>
      </c>
      <c r="Q134" s="100">
        <f t="shared" si="32"/>
        <v>5000</v>
      </c>
      <c r="R134" s="100">
        <f t="shared" si="32"/>
        <v>5000</v>
      </c>
      <c r="S134" s="100">
        <f t="shared" si="32"/>
        <v>5000</v>
      </c>
      <c r="T134" s="100">
        <f t="shared" si="32"/>
        <v>5000</v>
      </c>
      <c r="U134" s="100">
        <f t="shared" si="28"/>
        <v>60000</v>
      </c>
    </row>
    <row r="135" spans="1:21" outlineLevel="2" x14ac:dyDescent="0.2">
      <c r="A135" s="231" t="s">
        <v>495</v>
      </c>
      <c r="B135" s="262" t="s">
        <v>357</v>
      </c>
      <c r="C135" s="262">
        <v>6</v>
      </c>
      <c r="D135" s="262"/>
      <c r="E135" s="262"/>
      <c r="F135" s="263"/>
      <c r="G135" s="262">
        <v>8291</v>
      </c>
      <c r="H135" s="116">
        <v>60000</v>
      </c>
      <c r="I135" s="100">
        <f t="shared" si="32"/>
        <v>0</v>
      </c>
      <c r="J135" s="100">
        <f t="shared" si="32"/>
        <v>0</v>
      </c>
      <c r="K135" s="100">
        <f t="shared" si="32"/>
        <v>0</v>
      </c>
      <c r="L135" s="100">
        <f t="shared" si="32"/>
        <v>0</v>
      </c>
      <c r="M135" s="100">
        <f t="shared" si="32"/>
        <v>0</v>
      </c>
      <c r="N135" s="100">
        <f t="shared" si="32"/>
        <v>5000</v>
      </c>
      <c r="O135" s="100">
        <f t="shared" si="32"/>
        <v>5000</v>
      </c>
      <c r="P135" s="100">
        <f t="shared" si="32"/>
        <v>5000</v>
      </c>
      <c r="Q135" s="100">
        <f t="shared" si="32"/>
        <v>5000</v>
      </c>
      <c r="R135" s="100">
        <f t="shared" si="32"/>
        <v>5000</v>
      </c>
      <c r="S135" s="100">
        <f t="shared" si="32"/>
        <v>5000</v>
      </c>
      <c r="T135" s="100">
        <f t="shared" si="32"/>
        <v>5000</v>
      </c>
      <c r="U135" s="100">
        <f t="shared" si="28"/>
        <v>35000</v>
      </c>
    </row>
    <row r="136" spans="1:21" outlineLevel="2" x14ac:dyDescent="0.2">
      <c r="A136" s="231" t="s">
        <v>495</v>
      </c>
      <c r="B136" s="262" t="s">
        <v>370</v>
      </c>
      <c r="C136" s="262">
        <v>6</v>
      </c>
      <c r="D136" s="262"/>
      <c r="E136" s="262"/>
      <c r="F136" s="263"/>
      <c r="G136" s="262">
        <v>8291</v>
      </c>
      <c r="H136" s="116">
        <v>60000</v>
      </c>
      <c r="I136" s="100">
        <f t="shared" si="32"/>
        <v>0</v>
      </c>
      <c r="J136" s="100">
        <f t="shared" si="32"/>
        <v>0</v>
      </c>
      <c r="K136" s="100">
        <f t="shared" si="32"/>
        <v>0</v>
      </c>
      <c r="L136" s="100">
        <f t="shared" si="32"/>
        <v>0</v>
      </c>
      <c r="M136" s="100">
        <f t="shared" si="32"/>
        <v>0</v>
      </c>
      <c r="N136" s="100">
        <f t="shared" si="32"/>
        <v>5000</v>
      </c>
      <c r="O136" s="100">
        <f t="shared" si="32"/>
        <v>5000</v>
      </c>
      <c r="P136" s="100">
        <f t="shared" si="32"/>
        <v>5000</v>
      </c>
      <c r="Q136" s="100">
        <f t="shared" si="32"/>
        <v>5000</v>
      </c>
      <c r="R136" s="100">
        <f t="shared" si="32"/>
        <v>5000</v>
      </c>
      <c r="S136" s="100">
        <f t="shared" si="32"/>
        <v>5000</v>
      </c>
      <c r="T136" s="100">
        <f t="shared" si="32"/>
        <v>5000</v>
      </c>
      <c r="U136" s="100">
        <f t="shared" si="28"/>
        <v>35000</v>
      </c>
    </row>
    <row r="137" spans="1:21" outlineLevel="2" x14ac:dyDescent="0.2">
      <c r="A137" s="231" t="s">
        <v>495</v>
      </c>
      <c r="B137" s="262" t="s">
        <v>371</v>
      </c>
      <c r="C137" s="262">
        <v>10</v>
      </c>
      <c r="D137" s="262"/>
      <c r="E137" s="262"/>
      <c r="F137" s="263"/>
      <c r="G137" s="262">
        <v>8291</v>
      </c>
      <c r="H137" s="116">
        <v>60000</v>
      </c>
      <c r="I137" s="100">
        <f t="shared" si="32"/>
        <v>0</v>
      </c>
      <c r="J137" s="100">
        <f t="shared" si="32"/>
        <v>0</v>
      </c>
      <c r="K137" s="100">
        <f t="shared" si="32"/>
        <v>0</v>
      </c>
      <c r="L137" s="100">
        <f t="shared" si="32"/>
        <v>0</v>
      </c>
      <c r="M137" s="100">
        <f t="shared" si="32"/>
        <v>0</v>
      </c>
      <c r="N137" s="100">
        <f t="shared" si="32"/>
        <v>0</v>
      </c>
      <c r="O137" s="100">
        <f t="shared" si="32"/>
        <v>0</v>
      </c>
      <c r="P137" s="100">
        <f t="shared" si="32"/>
        <v>0</v>
      </c>
      <c r="Q137" s="100">
        <f t="shared" si="32"/>
        <v>0</v>
      </c>
      <c r="R137" s="100">
        <f t="shared" si="32"/>
        <v>5000</v>
      </c>
      <c r="S137" s="100">
        <f t="shared" si="32"/>
        <v>5000</v>
      </c>
      <c r="T137" s="100">
        <f t="shared" si="32"/>
        <v>5000</v>
      </c>
      <c r="U137" s="100">
        <f t="shared" si="28"/>
        <v>15000</v>
      </c>
    </row>
    <row r="138" spans="1:21" outlineLevel="2" x14ac:dyDescent="0.2">
      <c r="A138" s="231" t="s">
        <v>495</v>
      </c>
      <c r="B138" s="262" t="s">
        <v>372</v>
      </c>
      <c r="C138" s="262">
        <v>10</v>
      </c>
      <c r="D138" s="262"/>
      <c r="E138" s="262"/>
      <c r="F138" s="263"/>
      <c r="G138" s="262">
        <v>8291</v>
      </c>
      <c r="H138" s="116">
        <v>60000</v>
      </c>
      <c r="I138" s="100">
        <f t="shared" si="32"/>
        <v>0</v>
      </c>
      <c r="J138" s="100">
        <f t="shared" si="32"/>
        <v>0</v>
      </c>
      <c r="K138" s="100">
        <f t="shared" si="32"/>
        <v>0</v>
      </c>
      <c r="L138" s="100">
        <f t="shared" si="32"/>
        <v>0</v>
      </c>
      <c r="M138" s="100">
        <f t="shared" si="32"/>
        <v>0</v>
      </c>
      <c r="N138" s="100">
        <f t="shared" si="32"/>
        <v>0</v>
      </c>
      <c r="O138" s="100">
        <f t="shared" si="32"/>
        <v>0</v>
      </c>
      <c r="P138" s="100">
        <f t="shared" si="32"/>
        <v>0</v>
      </c>
      <c r="Q138" s="100">
        <f t="shared" si="32"/>
        <v>0</v>
      </c>
      <c r="R138" s="100">
        <f t="shared" si="32"/>
        <v>5000</v>
      </c>
      <c r="S138" s="100">
        <f t="shared" si="32"/>
        <v>5000</v>
      </c>
      <c r="T138" s="100">
        <f t="shared" si="32"/>
        <v>5000</v>
      </c>
      <c r="U138" s="100">
        <f t="shared" si="28"/>
        <v>15000</v>
      </c>
    </row>
    <row r="139" spans="1:21" outlineLevel="2" x14ac:dyDescent="0.2">
      <c r="B139" s="262"/>
      <c r="C139" s="262"/>
      <c r="D139" s="262"/>
      <c r="E139" s="262"/>
      <c r="F139" s="263"/>
      <c r="G139" s="262"/>
      <c r="H139" s="116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</row>
    <row r="140" spans="1:21" s="234" customFormat="1" outlineLevel="2" x14ac:dyDescent="0.2">
      <c r="B140" s="264"/>
      <c r="C140" s="264">
        <f>SUBTOTAL(3,C94:C139)</f>
        <v>45</v>
      </c>
      <c r="H140" s="117"/>
      <c r="I140" s="264">
        <f>COUNTIF(I93:I139,"&gt;0")</f>
        <v>15</v>
      </c>
      <c r="J140" s="264">
        <f t="shared" ref="J140:U140" si="33">COUNTIF(J93:J139,"&gt;0")</f>
        <v>16</v>
      </c>
      <c r="K140" s="264">
        <f t="shared" si="33"/>
        <v>20</v>
      </c>
      <c r="L140" s="264">
        <f t="shared" si="33"/>
        <v>24</v>
      </c>
      <c r="M140" s="264">
        <f t="shared" si="33"/>
        <v>27</v>
      </c>
      <c r="N140" s="264">
        <f t="shared" si="33"/>
        <v>32</v>
      </c>
      <c r="O140" s="264">
        <f t="shared" si="33"/>
        <v>35</v>
      </c>
      <c r="P140" s="264">
        <f t="shared" si="33"/>
        <v>38</v>
      </c>
      <c r="Q140" s="264">
        <f t="shared" si="33"/>
        <v>41</v>
      </c>
      <c r="R140" s="264">
        <f t="shared" si="33"/>
        <v>45</v>
      </c>
      <c r="S140" s="264">
        <f t="shared" si="33"/>
        <v>45</v>
      </c>
      <c r="T140" s="264">
        <f t="shared" si="33"/>
        <v>45</v>
      </c>
      <c r="U140" s="264">
        <f t="shared" si="33"/>
        <v>45</v>
      </c>
    </row>
    <row r="141" spans="1:21" s="265" customFormat="1" outlineLevel="1" x14ac:dyDescent="0.2">
      <c r="B141" s="266" t="s">
        <v>138</v>
      </c>
      <c r="G141" s="267"/>
      <c r="H141" s="106"/>
      <c r="I141" s="105">
        <f t="shared" ref="I141:U141" si="34">SUM(I94:I139)</f>
        <v>68750</v>
      </c>
      <c r="J141" s="105">
        <f t="shared" si="34"/>
        <v>72916.666666666686</v>
      </c>
      <c r="K141" s="105">
        <f t="shared" si="34"/>
        <v>90833.333333333343</v>
      </c>
      <c r="L141" s="105">
        <f t="shared" si="34"/>
        <v>108750</v>
      </c>
      <c r="M141" s="105">
        <f t="shared" si="34"/>
        <v>122083.33333333331</v>
      </c>
      <c r="N141" s="105">
        <f t="shared" si="34"/>
        <v>145416.66666666663</v>
      </c>
      <c r="O141" s="105">
        <f t="shared" si="34"/>
        <v>158749.99999999994</v>
      </c>
      <c r="P141" s="105">
        <f t="shared" si="34"/>
        <v>172083.33333333328</v>
      </c>
      <c r="Q141" s="105">
        <f t="shared" si="34"/>
        <v>185416.66666666666</v>
      </c>
      <c r="R141" s="105">
        <f t="shared" si="34"/>
        <v>204583.33333333334</v>
      </c>
      <c r="S141" s="105">
        <f t="shared" si="34"/>
        <v>204583.33333333334</v>
      </c>
      <c r="T141" s="105">
        <f t="shared" si="34"/>
        <v>204583.33333333334</v>
      </c>
      <c r="U141" s="105">
        <f t="shared" si="34"/>
        <v>1738750</v>
      </c>
    </row>
    <row r="142" spans="1:21" outlineLevel="2" x14ac:dyDescent="0.2">
      <c r="B142" s="264"/>
      <c r="C142" s="264">
        <f>C36+C44+C52+C72+C89+C140</f>
        <v>99</v>
      </c>
      <c r="D142" s="254"/>
      <c r="E142" s="254"/>
      <c r="F142" s="254"/>
      <c r="G142" s="254"/>
      <c r="I142" s="264">
        <f t="shared" ref="I142:U143" si="35">I36+I44+I52+I72+I89+I140</f>
        <v>37</v>
      </c>
      <c r="J142" s="264">
        <f t="shared" si="35"/>
        <v>38</v>
      </c>
      <c r="K142" s="264">
        <f t="shared" si="35"/>
        <v>45</v>
      </c>
      <c r="L142" s="264">
        <f t="shared" si="35"/>
        <v>52</v>
      </c>
      <c r="M142" s="264">
        <f t="shared" si="35"/>
        <v>58</v>
      </c>
      <c r="N142" s="264">
        <f t="shared" si="35"/>
        <v>74</v>
      </c>
      <c r="O142" s="264">
        <f t="shared" si="35"/>
        <v>79</v>
      </c>
      <c r="P142" s="264">
        <f t="shared" si="35"/>
        <v>86</v>
      </c>
      <c r="Q142" s="264">
        <f t="shared" si="35"/>
        <v>91</v>
      </c>
      <c r="R142" s="264">
        <f t="shared" si="35"/>
        <v>99</v>
      </c>
      <c r="S142" s="264">
        <f t="shared" si="35"/>
        <v>99</v>
      </c>
      <c r="T142" s="264">
        <f t="shared" si="35"/>
        <v>99</v>
      </c>
      <c r="U142" s="264">
        <f t="shared" si="35"/>
        <v>99</v>
      </c>
    </row>
    <row r="143" spans="1:21" s="234" customFormat="1" x14ac:dyDescent="0.2">
      <c r="B143" s="268" t="s">
        <v>527</v>
      </c>
      <c r="C143" s="230"/>
      <c r="D143" s="230"/>
      <c r="E143" s="230"/>
      <c r="F143" s="230"/>
      <c r="G143" s="230"/>
      <c r="H143" s="115"/>
      <c r="I143" s="105">
        <f t="shared" si="35"/>
        <v>227925.66666666666</v>
      </c>
      <c r="J143" s="105">
        <f t="shared" si="35"/>
        <v>232083.33333333334</v>
      </c>
      <c r="K143" s="105">
        <f t="shared" si="35"/>
        <v>265416.66666666669</v>
      </c>
      <c r="L143" s="105">
        <f t="shared" si="35"/>
        <v>298750</v>
      </c>
      <c r="M143" s="105">
        <f t="shared" si="35"/>
        <v>332916.66666666669</v>
      </c>
      <c r="N143" s="105">
        <f t="shared" si="35"/>
        <v>456250</v>
      </c>
      <c r="O143" s="105">
        <f t="shared" si="35"/>
        <v>480416.66666666663</v>
      </c>
      <c r="P143" s="105">
        <f t="shared" si="35"/>
        <v>513750</v>
      </c>
      <c r="Q143" s="105">
        <f t="shared" si="35"/>
        <v>537916.66666666663</v>
      </c>
      <c r="R143" s="105">
        <f t="shared" si="35"/>
        <v>577083.33333333326</v>
      </c>
      <c r="S143" s="105">
        <f t="shared" si="35"/>
        <v>577083.33333333326</v>
      </c>
      <c r="T143" s="105">
        <f t="shared" si="35"/>
        <v>577083.33333333326</v>
      </c>
      <c r="U143" s="105">
        <f>U37+U45+U53+U73+U90+U141</f>
        <v>5076666.666666666</v>
      </c>
    </row>
    <row r="145" spans="1:21" s="280" customFormat="1" x14ac:dyDescent="0.2">
      <c r="B145" s="280" t="s">
        <v>513</v>
      </c>
      <c r="H145" s="281"/>
      <c r="I145" s="155">
        <f>I9+I45+I53+I57+I77+I78+I79</f>
        <v>83333.333333333343</v>
      </c>
      <c r="J145" s="155">
        <f t="shared" ref="J145:U145" si="36">J9+J45+J53+J57+J77+J78+J79</f>
        <v>83333.333333333343</v>
      </c>
      <c r="K145" s="155">
        <f t="shared" si="36"/>
        <v>83333.333333333343</v>
      </c>
      <c r="L145" s="155">
        <f t="shared" si="36"/>
        <v>83333.333333333343</v>
      </c>
      <c r="M145" s="155">
        <f t="shared" si="36"/>
        <v>83333.333333333343</v>
      </c>
      <c r="N145" s="155">
        <f t="shared" si="36"/>
        <v>83333.333333333343</v>
      </c>
      <c r="O145" s="155">
        <f t="shared" si="36"/>
        <v>83333.333333333343</v>
      </c>
      <c r="P145" s="155">
        <f t="shared" si="36"/>
        <v>83333.333333333343</v>
      </c>
      <c r="Q145" s="155">
        <f t="shared" si="36"/>
        <v>83333.333333333343</v>
      </c>
      <c r="R145" s="155">
        <f t="shared" si="36"/>
        <v>83333.333333333343</v>
      </c>
      <c r="S145" s="155">
        <f t="shared" si="36"/>
        <v>83333.333333333343</v>
      </c>
      <c r="T145" s="155">
        <f t="shared" si="36"/>
        <v>83333.333333333343</v>
      </c>
      <c r="U145" s="155">
        <f t="shared" si="36"/>
        <v>1000000</v>
      </c>
    </row>
    <row r="147" spans="1:21" ht="25.5" x14ac:dyDescent="0.2">
      <c r="B147" s="230" t="s">
        <v>69</v>
      </c>
      <c r="E147" s="272" t="s">
        <v>197</v>
      </c>
      <c r="F147" s="272" t="s">
        <v>125</v>
      </c>
      <c r="G147" s="272" t="s">
        <v>163</v>
      </c>
    </row>
    <row r="148" spans="1:21" x14ac:dyDescent="0.2">
      <c r="B148" s="234">
        <v>8291</v>
      </c>
      <c r="C148" s="234" t="s">
        <v>180</v>
      </c>
      <c r="E148" s="282">
        <f>'CIL Mgmt Assumptions'!B46</f>
        <v>2.98</v>
      </c>
      <c r="F148" s="100">
        <f>SUMIF($G$8:$G$143,$B148,$U$8:$U$143)</f>
        <v>3686666.666666667</v>
      </c>
      <c r="G148" s="100">
        <f>SUMIF($G$8:$G$143,$B148,$T$8:$T$143)*12*(1+'CIL Mgmt Assumptions'!$D$18)</f>
        <v>5273599.9999999953</v>
      </c>
    </row>
    <row r="149" spans="1:21" x14ac:dyDescent="0.2">
      <c r="B149" s="234">
        <v>8742</v>
      </c>
      <c r="C149" s="234" t="s">
        <v>71</v>
      </c>
      <c r="E149" s="282">
        <f>'CIL Mgmt Assumptions'!B47</f>
        <v>0.15</v>
      </c>
      <c r="F149" s="100">
        <f t="shared" ref="F149:F151" si="37">SUMIF($G$8:$G$143,$B149,$U$8:$U$143)</f>
        <v>0</v>
      </c>
      <c r="G149" s="100">
        <f>SUMIF($G$8:$G$143,$B149,$T$8:$T$143)*12*(1+'CIL Mgmt Assumptions'!$D$18)</f>
        <v>0</v>
      </c>
    </row>
    <row r="150" spans="1:21" x14ac:dyDescent="0.2">
      <c r="B150" s="234">
        <v>8810</v>
      </c>
      <c r="C150" s="234" t="s">
        <v>70</v>
      </c>
      <c r="E150" s="282">
        <f>'CIL Mgmt Assumptions'!B48</f>
        <v>0.11</v>
      </c>
      <c r="F150" s="100">
        <f t="shared" si="37"/>
        <v>1330000</v>
      </c>
      <c r="G150" s="100">
        <f>SUMIF($G$8:$G$143,$B150,$T$8:$T$143)*12*(1+'CIL Mgmt Assumptions'!$D$18)</f>
        <v>1797350.0000000002</v>
      </c>
    </row>
    <row r="151" spans="1:21" x14ac:dyDescent="0.2">
      <c r="B151" s="234">
        <v>9015</v>
      </c>
      <c r="C151" s="234" t="s">
        <v>259</v>
      </c>
      <c r="E151" s="282">
        <f>'CIL Mgmt Assumptions'!B49</f>
        <v>3</v>
      </c>
      <c r="F151" s="100">
        <f t="shared" si="37"/>
        <v>60000</v>
      </c>
      <c r="G151" s="100">
        <f>SUMIF($G$8:$G$143,$B151,$T$8:$T$143)*12*(1+'CIL Mgmt Assumptions'!$D$18)</f>
        <v>61800</v>
      </c>
    </row>
    <row r="152" spans="1:21" x14ac:dyDescent="0.2">
      <c r="B152" s="234"/>
    </row>
    <row r="153" spans="1:21" x14ac:dyDescent="0.2">
      <c r="B153" s="234"/>
      <c r="F153" s="239">
        <f>SUM(F148:F152)</f>
        <v>5076666.666666667</v>
      </c>
      <c r="G153" s="239">
        <f>SUM(G148:G152)</f>
        <v>7132749.9999999953</v>
      </c>
    </row>
    <row r="154" spans="1:21" x14ac:dyDescent="0.2">
      <c r="B154" s="234"/>
    </row>
    <row r="155" spans="1:21" x14ac:dyDescent="0.2">
      <c r="A155" s="273"/>
      <c r="B155" s="273"/>
      <c r="C155" s="274"/>
      <c r="D155" s="274"/>
      <c r="E155" s="274"/>
      <c r="F155" s="274"/>
      <c r="G155" s="274"/>
      <c r="H155" s="275"/>
      <c r="I155" s="276"/>
      <c r="J155" s="276"/>
      <c r="K155" s="276"/>
      <c r="L155" s="276"/>
      <c r="M155" s="276"/>
      <c r="N155" s="276"/>
      <c r="O155" s="276"/>
      <c r="P155" s="276"/>
      <c r="Q155" s="276"/>
      <c r="R155" s="276"/>
      <c r="S155" s="276"/>
      <c r="T155" s="276"/>
      <c r="U155" s="276"/>
    </row>
    <row r="157" spans="1:21" x14ac:dyDescent="0.2">
      <c r="B157" s="277"/>
      <c r="C157" s="277"/>
      <c r="D157" s="277"/>
      <c r="E157" s="277"/>
      <c r="F157" s="277"/>
      <c r="G157" s="277"/>
      <c r="H157" s="101" t="s">
        <v>46</v>
      </c>
      <c r="I157" s="119">
        <v>1</v>
      </c>
      <c r="J157" s="119">
        <v>2</v>
      </c>
      <c r="K157" s="119">
        <v>3</v>
      </c>
      <c r="L157" s="119">
        <v>4</v>
      </c>
      <c r="M157" s="119">
        <v>5</v>
      </c>
      <c r="N157" s="119">
        <v>6</v>
      </c>
      <c r="O157" s="119">
        <v>7</v>
      </c>
      <c r="P157" s="119">
        <v>8</v>
      </c>
      <c r="Q157" s="119">
        <v>9</v>
      </c>
      <c r="R157" s="119">
        <v>10</v>
      </c>
      <c r="S157" s="119">
        <v>11</v>
      </c>
      <c r="T157" s="119">
        <v>12</v>
      </c>
      <c r="U157" s="180" t="s">
        <v>125</v>
      </c>
    </row>
    <row r="158" spans="1:21" ht="18.75" x14ac:dyDescent="0.3">
      <c r="B158" s="255" t="s">
        <v>530</v>
      </c>
      <c r="C158" s="254"/>
      <c r="D158" s="254"/>
      <c r="E158" s="254"/>
      <c r="F158" s="254"/>
      <c r="G158" s="254"/>
      <c r="U158" s="181"/>
    </row>
    <row r="159" spans="1:21" x14ac:dyDescent="0.2">
      <c r="B159" s="254" t="s">
        <v>126</v>
      </c>
      <c r="C159" s="299" t="s">
        <v>34</v>
      </c>
      <c r="D159" s="299"/>
      <c r="E159" s="299" t="s">
        <v>35</v>
      </c>
      <c r="F159" s="299"/>
      <c r="G159" s="256"/>
      <c r="U159" s="181"/>
    </row>
    <row r="160" spans="1:21" x14ac:dyDescent="0.2">
      <c r="B160" s="257" t="s">
        <v>37</v>
      </c>
      <c r="C160" s="258" t="s">
        <v>38</v>
      </c>
      <c r="D160" s="259" t="s">
        <v>39</v>
      </c>
      <c r="E160" s="257" t="s">
        <v>40</v>
      </c>
      <c r="F160" s="260" t="s">
        <v>41</v>
      </c>
      <c r="G160" s="261" t="s">
        <v>178</v>
      </c>
      <c r="H160" s="102" t="s">
        <v>13</v>
      </c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82"/>
    </row>
    <row r="161" spans="1:21" x14ac:dyDescent="0.2">
      <c r="A161" s="231" t="s">
        <v>496</v>
      </c>
      <c r="B161" s="262" t="s">
        <v>127</v>
      </c>
      <c r="C161" s="262">
        <v>1</v>
      </c>
      <c r="D161" s="262"/>
      <c r="E161" s="262"/>
      <c r="F161" s="263"/>
      <c r="G161" s="262">
        <v>8810</v>
      </c>
      <c r="H161" s="116">
        <v>165000</v>
      </c>
      <c r="I161" s="100">
        <f>IF(I$157&gt;=$C161,$H161/12,0)</f>
        <v>13750</v>
      </c>
      <c r="J161" s="100">
        <f t="shared" ref="J161:T175" si="38">IF(J$157&gt;=$C161,$H161/12,0)</f>
        <v>13750</v>
      </c>
      <c r="K161" s="100">
        <f t="shared" si="38"/>
        <v>13750</v>
      </c>
      <c r="L161" s="100">
        <f t="shared" si="38"/>
        <v>13750</v>
      </c>
      <c r="M161" s="100">
        <f t="shared" si="38"/>
        <v>13750</v>
      </c>
      <c r="N161" s="100">
        <f t="shared" si="38"/>
        <v>13750</v>
      </c>
      <c r="O161" s="100">
        <f t="shared" si="38"/>
        <v>13750</v>
      </c>
      <c r="P161" s="100">
        <f t="shared" si="38"/>
        <v>13750</v>
      </c>
      <c r="Q161" s="100">
        <f t="shared" si="38"/>
        <v>13750</v>
      </c>
      <c r="R161" s="100">
        <f t="shared" si="38"/>
        <v>13750</v>
      </c>
      <c r="S161" s="100">
        <f t="shared" si="38"/>
        <v>13750</v>
      </c>
      <c r="T161" s="100">
        <f t="shared" si="38"/>
        <v>13750</v>
      </c>
      <c r="U161" s="181">
        <f>SUM(I161:T161)</f>
        <v>165000</v>
      </c>
    </row>
    <row r="162" spans="1:21" x14ac:dyDescent="0.2">
      <c r="A162" s="231" t="s">
        <v>496</v>
      </c>
      <c r="B162" s="262" t="s">
        <v>278</v>
      </c>
      <c r="C162" s="262"/>
      <c r="D162" s="262"/>
      <c r="E162" s="262"/>
      <c r="F162" s="263"/>
      <c r="G162" s="262">
        <v>8810</v>
      </c>
      <c r="H162" s="116"/>
      <c r="I162" s="100">
        <f t="shared" ref="I162:I175" si="39">IF(I$157&gt;=$C162,$H162/12,0)</f>
        <v>0</v>
      </c>
      <c r="J162" s="100">
        <f t="shared" si="38"/>
        <v>0</v>
      </c>
      <c r="K162" s="100">
        <f t="shared" si="38"/>
        <v>0</v>
      </c>
      <c r="L162" s="100">
        <f t="shared" si="38"/>
        <v>0</v>
      </c>
      <c r="M162" s="100">
        <f t="shared" si="38"/>
        <v>0</v>
      </c>
      <c r="N162" s="100">
        <f t="shared" si="38"/>
        <v>0</v>
      </c>
      <c r="O162" s="100">
        <f t="shared" si="38"/>
        <v>0</v>
      </c>
      <c r="P162" s="100">
        <f t="shared" si="38"/>
        <v>0</v>
      </c>
      <c r="Q162" s="100">
        <f t="shared" si="38"/>
        <v>0</v>
      </c>
      <c r="R162" s="100">
        <f t="shared" si="38"/>
        <v>0</v>
      </c>
      <c r="S162" s="100">
        <f t="shared" si="38"/>
        <v>0</v>
      </c>
      <c r="T162" s="100">
        <f t="shared" si="38"/>
        <v>0</v>
      </c>
      <c r="U162" s="181">
        <f>SUM(I162:T162)</f>
        <v>0</v>
      </c>
    </row>
    <row r="163" spans="1:21" x14ac:dyDescent="0.2">
      <c r="A163" s="231" t="s">
        <v>496</v>
      </c>
      <c r="B163" s="262" t="s">
        <v>127</v>
      </c>
      <c r="C163" s="262"/>
      <c r="D163" s="262"/>
      <c r="E163" s="262"/>
      <c r="F163" s="263"/>
      <c r="G163" s="262">
        <v>8810</v>
      </c>
      <c r="H163" s="116"/>
      <c r="I163" s="100">
        <f t="shared" si="39"/>
        <v>0</v>
      </c>
      <c r="J163" s="100">
        <f t="shared" si="38"/>
        <v>0</v>
      </c>
      <c r="K163" s="100">
        <f t="shared" si="38"/>
        <v>0</v>
      </c>
      <c r="L163" s="100">
        <f t="shared" si="38"/>
        <v>0</v>
      </c>
      <c r="M163" s="100">
        <f t="shared" si="38"/>
        <v>0</v>
      </c>
      <c r="N163" s="100">
        <f t="shared" si="38"/>
        <v>0</v>
      </c>
      <c r="O163" s="100">
        <f t="shared" si="38"/>
        <v>0</v>
      </c>
      <c r="P163" s="100">
        <f t="shared" si="38"/>
        <v>0</v>
      </c>
      <c r="Q163" s="100">
        <f t="shared" si="38"/>
        <v>0</v>
      </c>
      <c r="R163" s="100">
        <f t="shared" si="38"/>
        <v>0</v>
      </c>
      <c r="S163" s="100">
        <f t="shared" si="38"/>
        <v>0</v>
      </c>
      <c r="T163" s="100">
        <f t="shared" si="38"/>
        <v>0</v>
      </c>
      <c r="U163" s="181">
        <f>SUM(I163:T163)</f>
        <v>0</v>
      </c>
    </row>
    <row r="164" spans="1:21" x14ac:dyDescent="0.2">
      <c r="B164" s="262"/>
      <c r="C164" s="262"/>
      <c r="D164" s="262"/>
      <c r="E164" s="262"/>
      <c r="F164" s="263"/>
      <c r="G164" s="262">
        <v>8291</v>
      </c>
      <c r="H164" s="116"/>
      <c r="I164" s="100">
        <f t="shared" si="39"/>
        <v>0</v>
      </c>
      <c r="J164" s="100">
        <f t="shared" si="38"/>
        <v>0</v>
      </c>
      <c r="K164" s="100">
        <f t="shared" si="38"/>
        <v>0</v>
      </c>
      <c r="L164" s="100">
        <f t="shared" si="38"/>
        <v>0</v>
      </c>
      <c r="M164" s="100">
        <f t="shared" si="38"/>
        <v>0</v>
      </c>
      <c r="N164" s="100">
        <f t="shared" si="38"/>
        <v>0</v>
      </c>
      <c r="O164" s="100">
        <f t="shared" si="38"/>
        <v>0</v>
      </c>
      <c r="P164" s="100">
        <f t="shared" si="38"/>
        <v>0</v>
      </c>
      <c r="Q164" s="100">
        <f t="shared" si="38"/>
        <v>0</v>
      </c>
      <c r="R164" s="100">
        <f t="shared" si="38"/>
        <v>0</v>
      </c>
      <c r="S164" s="100">
        <f t="shared" si="38"/>
        <v>0</v>
      </c>
      <c r="T164" s="100">
        <f t="shared" si="38"/>
        <v>0</v>
      </c>
      <c r="U164" s="181">
        <f t="shared" ref="U164:U175" si="40">SUM(I164:T164)</f>
        <v>0</v>
      </c>
    </row>
    <row r="165" spans="1:21" x14ac:dyDescent="0.2">
      <c r="B165" s="262"/>
      <c r="C165" s="262"/>
      <c r="D165" s="262"/>
      <c r="E165" s="262"/>
      <c r="F165" s="263"/>
      <c r="G165" s="262">
        <v>8291</v>
      </c>
      <c r="H165" s="116"/>
      <c r="I165" s="100">
        <f t="shared" si="39"/>
        <v>0</v>
      </c>
      <c r="J165" s="100">
        <f t="shared" si="38"/>
        <v>0</v>
      </c>
      <c r="K165" s="100">
        <f t="shared" si="38"/>
        <v>0</v>
      </c>
      <c r="L165" s="100">
        <f t="shared" si="38"/>
        <v>0</v>
      </c>
      <c r="M165" s="100">
        <f t="shared" si="38"/>
        <v>0</v>
      </c>
      <c r="N165" s="100">
        <f t="shared" si="38"/>
        <v>0</v>
      </c>
      <c r="O165" s="100">
        <f t="shared" si="38"/>
        <v>0</v>
      </c>
      <c r="P165" s="100">
        <f t="shared" si="38"/>
        <v>0</v>
      </c>
      <c r="Q165" s="100">
        <f t="shared" si="38"/>
        <v>0</v>
      </c>
      <c r="R165" s="100">
        <f t="shared" si="38"/>
        <v>0</v>
      </c>
      <c r="S165" s="100">
        <f t="shared" si="38"/>
        <v>0</v>
      </c>
      <c r="T165" s="100">
        <f t="shared" si="38"/>
        <v>0</v>
      </c>
      <c r="U165" s="181">
        <f t="shared" si="40"/>
        <v>0</v>
      </c>
    </row>
    <row r="166" spans="1:21" x14ac:dyDescent="0.2">
      <c r="B166" s="262"/>
      <c r="C166" s="262"/>
      <c r="D166" s="262"/>
      <c r="E166" s="262"/>
      <c r="F166" s="263"/>
      <c r="G166" s="262">
        <v>8291</v>
      </c>
      <c r="H166" s="116"/>
      <c r="I166" s="100">
        <f t="shared" si="39"/>
        <v>0</v>
      </c>
      <c r="J166" s="100">
        <f t="shared" si="38"/>
        <v>0</v>
      </c>
      <c r="K166" s="100">
        <f t="shared" si="38"/>
        <v>0</v>
      </c>
      <c r="L166" s="100">
        <f t="shared" si="38"/>
        <v>0</v>
      </c>
      <c r="M166" s="100">
        <f t="shared" si="38"/>
        <v>0</v>
      </c>
      <c r="N166" s="100">
        <f t="shared" si="38"/>
        <v>0</v>
      </c>
      <c r="O166" s="100">
        <f t="shared" si="38"/>
        <v>0</v>
      </c>
      <c r="P166" s="100">
        <f t="shared" si="38"/>
        <v>0</v>
      </c>
      <c r="Q166" s="100">
        <f t="shared" si="38"/>
        <v>0</v>
      </c>
      <c r="R166" s="100">
        <f t="shared" si="38"/>
        <v>0</v>
      </c>
      <c r="S166" s="100">
        <f t="shared" si="38"/>
        <v>0</v>
      </c>
      <c r="T166" s="100">
        <f t="shared" si="38"/>
        <v>0</v>
      </c>
      <c r="U166" s="181">
        <f t="shared" si="40"/>
        <v>0</v>
      </c>
    </row>
    <row r="167" spans="1:21" x14ac:dyDescent="0.2">
      <c r="B167" s="262"/>
      <c r="C167" s="262"/>
      <c r="D167" s="262"/>
      <c r="E167" s="262"/>
      <c r="F167" s="263"/>
      <c r="G167" s="262">
        <v>8291</v>
      </c>
      <c r="H167" s="116"/>
      <c r="I167" s="100">
        <f t="shared" si="39"/>
        <v>0</v>
      </c>
      <c r="J167" s="100">
        <f t="shared" si="38"/>
        <v>0</v>
      </c>
      <c r="K167" s="100">
        <f t="shared" si="38"/>
        <v>0</v>
      </c>
      <c r="L167" s="100">
        <f t="shared" si="38"/>
        <v>0</v>
      </c>
      <c r="M167" s="100">
        <f t="shared" si="38"/>
        <v>0</v>
      </c>
      <c r="N167" s="100">
        <f t="shared" si="38"/>
        <v>0</v>
      </c>
      <c r="O167" s="100">
        <f t="shared" si="38"/>
        <v>0</v>
      </c>
      <c r="P167" s="100">
        <f t="shared" si="38"/>
        <v>0</v>
      </c>
      <c r="Q167" s="100">
        <f t="shared" si="38"/>
        <v>0</v>
      </c>
      <c r="R167" s="100">
        <f t="shared" si="38"/>
        <v>0</v>
      </c>
      <c r="S167" s="100">
        <f t="shared" si="38"/>
        <v>0</v>
      </c>
      <c r="T167" s="100">
        <f t="shared" si="38"/>
        <v>0</v>
      </c>
      <c r="U167" s="181">
        <f t="shared" si="40"/>
        <v>0</v>
      </c>
    </row>
    <row r="168" spans="1:21" x14ac:dyDescent="0.2">
      <c r="B168" s="262"/>
      <c r="C168" s="262"/>
      <c r="D168" s="262"/>
      <c r="E168" s="262"/>
      <c r="F168" s="263"/>
      <c r="G168" s="262">
        <v>8291</v>
      </c>
      <c r="H168" s="116"/>
      <c r="I168" s="100">
        <f t="shared" si="39"/>
        <v>0</v>
      </c>
      <c r="J168" s="100">
        <f t="shared" si="38"/>
        <v>0</v>
      </c>
      <c r="K168" s="100">
        <f t="shared" si="38"/>
        <v>0</v>
      </c>
      <c r="L168" s="100">
        <f t="shared" si="38"/>
        <v>0</v>
      </c>
      <c r="M168" s="100">
        <f t="shared" si="38"/>
        <v>0</v>
      </c>
      <c r="N168" s="100">
        <f t="shared" si="38"/>
        <v>0</v>
      </c>
      <c r="O168" s="100">
        <f t="shared" si="38"/>
        <v>0</v>
      </c>
      <c r="P168" s="100">
        <f t="shared" si="38"/>
        <v>0</v>
      </c>
      <c r="Q168" s="100">
        <f t="shared" si="38"/>
        <v>0</v>
      </c>
      <c r="R168" s="100">
        <f t="shared" si="38"/>
        <v>0</v>
      </c>
      <c r="S168" s="100">
        <f t="shared" si="38"/>
        <v>0</v>
      </c>
      <c r="T168" s="100">
        <f t="shared" si="38"/>
        <v>0</v>
      </c>
      <c r="U168" s="181">
        <f t="shared" si="40"/>
        <v>0</v>
      </c>
    </row>
    <row r="169" spans="1:21" x14ac:dyDescent="0.2">
      <c r="B169" s="262"/>
      <c r="C169" s="262"/>
      <c r="D169" s="262"/>
      <c r="E169" s="262"/>
      <c r="F169" s="263"/>
      <c r="G169" s="262">
        <v>8291</v>
      </c>
      <c r="H169" s="116"/>
      <c r="I169" s="100">
        <f t="shared" si="39"/>
        <v>0</v>
      </c>
      <c r="J169" s="100">
        <f t="shared" si="38"/>
        <v>0</v>
      </c>
      <c r="K169" s="100">
        <f t="shared" si="38"/>
        <v>0</v>
      </c>
      <c r="L169" s="100">
        <f t="shared" si="38"/>
        <v>0</v>
      </c>
      <c r="M169" s="100">
        <f t="shared" si="38"/>
        <v>0</v>
      </c>
      <c r="N169" s="100">
        <f t="shared" si="38"/>
        <v>0</v>
      </c>
      <c r="O169" s="100">
        <f t="shared" si="38"/>
        <v>0</v>
      </c>
      <c r="P169" s="100">
        <f t="shared" si="38"/>
        <v>0</v>
      </c>
      <c r="Q169" s="100">
        <f t="shared" si="38"/>
        <v>0</v>
      </c>
      <c r="R169" s="100">
        <f t="shared" si="38"/>
        <v>0</v>
      </c>
      <c r="S169" s="100">
        <f t="shared" si="38"/>
        <v>0</v>
      </c>
      <c r="T169" s="100">
        <f t="shared" si="38"/>
        <v>0</v>
      </c>
      <c r="U169" s="181">
        <f t="shared" si="40"/>
        <v>0</v>
      </c>
    </row>
    <row r="170" spans="1:21" x14ac:dyDescent="0.2">
      <c r="B170" s="262"/>
      <c r="C170" s="262"/>
      <c r="D170" s="262"/>
      <c r="E170" s="262"/>
      <c r="F170" s="263"/>
      <c r="G170" s="262">
        <v>8291</v>
      </c>
      <c r="H170" s="116"/>
      <c r="I170" s="100">
        <f t="shared" si="39"/>
        <v>0</v>
      </c>
      <c r="J170" s="100">
        <f t="shared" si="38"/>
        <v>0</v>
      </c>
      <c r="K170" s="100">
        <f t="shared" si="38"/>
        <v>0</v>
      </c>
      <c r="L170" s="100">
        <f t="shared" si="38"/>
        <v>0</v>
      </c>
      <c r="M170" s="100">
        <f t="shared" si="38"/>
        <v>0</v>
      </c>
      <c r="N170" s="100">
        <f t="shared" si="38"/>
        <v>0</v>
      </c>
      <c r="O170" s="100">
        <f t="shared" si="38"/>
        <v>0</v>
      </c>
      <c r="P170" s="100">
        <f t="shared" si="38"/>
        <v>0</v>
      </c>
      <c r="Q170" s="100">
        <f t="shared" si="38"/>
        <v>0</v>
      </c>
      <c r="R170" s="100">
        <f t="shared" si="38"/>
        <v>0</v>
      </c>
      <c r="S170" s="100">
        <f t="shared" si="38"/>
        <v>0</v>
      </c>
      <c r="T170" s="100">
        <f t="shared" si="38"/>
        <v>0</v>
      </c>
      <c r="U170" s="181">
        <f t="shared" si="40"/>
        <v>0</v>
      </c>
    </row>
    <row r="171" spans="1:21" x14ac:dyDescent="0.2">
      <c r="B171" s="262"/>
      <c r="C171" s="262"/>
      <c r="D171" s="262"/>
      <c r="E171" s="262"/>
      <c r="F171" s="263"/>
      <c r="G171" s="262">
        <v>8291</v>
      </c>
      <c r="H171" s="116"/>
      <c r="I171" s="100">
        <f t="shared" si="39"/>
        <v>0</v>
      </c>
      <c r="J171" s="100">
        <f t="shared" si="38"/>
        <v>0</v>
      </c>
      <c r="K171" s="100">
        <f t="shared" si="38"/>
        <v>0</v>
      </c>
      <c r="L171" s="100">
        <f t="shared" si="38"/>
        <v>0</v>
      </c>
      <c r="M171" s="100">
        <f t="shared" si="38"/>
        <v>0</v>
      </c>
      <c r="N171" s="100">
        <f t="shared" si="38"/>
        <v>0</v>
      </c>
      <c r="O171" s="100">
        <f t="shared" si="38"/>
        <v>0</v>
      </c>
      <c r="P171" s="100">
        <f t="shared" si="38"/>
        <v>0</v>
      </c>
      <c r="Q171" s="100">
        <f t="shared" si="38"/>
        <v>0</v>
      </c>
      <c r="R171" s="100">
        <f t="shared" si="38"/>
        <v>0</v>
      </c>
      <c r="S171" s="100">
        <f t="shared" si="38"/>
        <v>0</v>
      </c>
      <c r="T171" s="100">
        <f t="shared" si="38"/>
        <v>0</v>
      </c>
      <c r="U171" s="181">
        <f t="shared" si="40"/>
        <v>0</v>
      </c>
    </row>
    <row r="172" spans="1:21" x14ac:dyDescent="0.2">
      <c r="B172" s="262"/>
      <c r="C172" s="262"/>
      <c r="D172" s="262"/>
      <c r="E172" s="262"/>
      <c r="F172" s="263"/>
      <c r="G172" s="262">
        <v>8291</v>
      </c>
      <c r="H172" s="116"/>
      <c r="I172" s="100">
        <f t="shared" si="39"/>
        <v>0</v>
      </c>
      <c r="J172" s="100">
        <f t="shared" si="38"/>
        <v>0</v>
      </c>
      <c r="K172" s="100">
        <f t="shared" si="38"/>
        <v>0</v>
      </c>
      <c r="L172" s="100">
        <f t="shared" si="38"/>
        <v>0</v>
      </c>
      <c r="M172" s="100">
        <f t="shared" si="38"/>
        <v>0</v>
      </c>
      <c r="N172" s="100">
        <f t="shared" si="38"/>
        <v>0</v>
      </c>
      <c r="O172" s="100">
        <f t="shared" si="38"/>
        <v>0</v>
      </c>
      <c r="P172" s="100">
        <f t="shared" si="38"/>
        <v>0</v>
      </c>
      <c r="Q172" s="100">
        <f t="shared" si="38"/>
        <v>0</v>
      </c>
      <c r="R172" s="100">
        <f t="shared" si="38"/>
        <v>0</v>
      </c>
      <c r="S172" s="100">
        <f t="shared" si="38"/>
        <v>0</v>
      </c>
      <c r="T172" s="100">
        <f t="shared" si="38"/>
        <v>0</v>
      </c>
      <c r="U172" s="181">
        <f t="shared" si="40"/>
        <v>0</v>
      </c>
    </row>
    <row r="173" spans="1:21" x14ac:dyDescent="0.2">
      <c r="B173" s="262"/>
      <c r="C173" s="262"/>
      <c r="D173" s="262"/>
      <c r="E173" s="262"/>
      <c r="F173" s="263"/>
      <c r="G173" s="262">
        <v>8291</v>
      </c>
      <c r="H173" s="116"/>
      <c r="I173" s="100">
        <f t="shared" si="39"/>
        <v>0</v>
      </c>
      <c r="J173" s="100">
        <f t="shared" si="38"/>
        <v>0</v>
      </c>
      <c r="K173" s="100">
        <f t="shared" si="38"/>
        <v>0</v>
      </c>
      <c r="L173" s="100">
        <f t="shared" si="38"/>
        <v>0</v>
      </c>
      <c r="M173" s="100">
        <f t="shared" si="38"/>
        <v>0</v>
      </c>
      <c r="N173" s="100">
        <f t="shared" si="38"/>
        <v>0</v>
      </c>
      <c r="O173" s="100">
        <f t="shared" si="38"/>
        <v>0</v>
      </c>
      <c r="P173" s="100">
        <f t="shared" si="38"/>
        <v>0</v>
      </c>
      <c r="Q173" s="100">
        <f t="shared" si="38"/>
        <v>0</v>
      </c>
      <c r="R173" s="100">
        <f t="shared" si="38"/>
        <v>0</v>
      </c>
      <c r="S173" s="100">
        <f t="shared" si="38"/>
        <v>0</v>
      </c>
      <c r="T173" s="100">
        <f t="shared" si="38"/>
        <v>0</v>
      </c>
      <c r="U173" s="181">
        <f t="shared" si="40"/>
        <v>0</v>
      </c>
    </row>
    <row r="174" spans="1:21" x14ac:dyDescent="0.2">
      <c r="B174" s="262"/>
      <c r="C174" s="262"/>
      <c r="D174" s="262"/>
      <c r="E174" s="262"/>
      <c r="F174" s="263"/>
      <c r="G174" s="262">
        <v>8291</v>
      </c>
      <c r="H174" s="116"/>
      <c r="I174" s="100">
        <f t="shared" si="39"/>
        <v>0</v>
      </c>
      <c r="J174" s="100">
        <f t="shared" si="38"/>
        <v>0</v>
      </c>
      <c r="K174" s="100">
        <f t="shared" si="38"/>
        <v>0</v>
      </c>
      <c r="L174" s="100">
        <f t="shared" si="38"/>
        <v>0</v>
      </c>
      <c r="M174" s="100">
        <f t="shared" si="38"/>
        <v>0</v>
      </c>
      <c r="N174" s="100">
        <f t="shared" si="38"/>
        <v>0</v>
      </c>
      <c r="O174" s="100">
        <f t="shared" si="38"/>
        <v>0</v>
      </c>
      <c r="P174" s="100">
        <f t="shared" si="38"/>
        <v>0</v>
      </c>
      <c r="Q174" s="100">
        <f t="shared" si="38"/>
        <v>0</v>
      </c>
      <c r="R174" s="100">
        <f t="shared" si="38"/>
        <v>0</v>
      </c>
      <c r="S174" s="100">
        <f t="shared" si="38"/>
        <v>0</v>
      </c>
      <c r="T174" s="100">
        <f t="shared" si="38"/>
        <v>0</v>
      </c>
      <c r="U174" s="181">
        <f t="shared" si="40"/>
        <v>0</v>
      </c>
    </row>
    <row r="175" spans="1:21" x14ac:dyDescent="0.2">
      <c r="B175" s="262"/>
      <c r="C175" s="262"/>
      <c r="D175" s="262"/>
      <c r="E175" s="262"/>
      <c r="F175" s="263"/>
      <c r="G175" s="262">
        <v>8291</v>
      </c>
      <c r="H175" s="116"/>
      <c r="I175" s="100">
        <f t="shared" si="39"/>
        <v>0</v>
      </c>
      <c r="J175" s="100">
        <f t="shared" si="38"/>
        <v>0</v>
      </c>
      <c r="K175" s="100">
        <f t="shared" si="38"/>
        <v>0</v>
      </c>
      <c r="L175" s="100">
        <f t="shared" si="38"/>
        <v>0</v>
      </c>
      <c r="M175" s="100">
        <f t="shared" si="38"/>
        <v>0</v>
      </c>
      <c r="N175" s="100">
        <f t="shared" si="38"/>
        <v>0</v>
      </c>
      <c r="O175" s="100">
        <f t="shared" si="38"/>
        <v>0</v>
      </c>
      <c r="P175" s="100">
        <f t="shared" si="38"/>
        <v>0</v>
      </c>
      <c r="Q175" s="100">
        <f t="shared" si="38"/>
        <v>0</v>
      </c>
      <c r="R175" s="100">
        <f t="shared" si="38"/>
        <v>0</v>
      </c>
      <c r="S175" s="100">
        <f t="shared" si="38"/>
        <v>0</v>
      </c>
      <c r="T175" s="100">
        <f t="shared" si="38"/>
        <v>0</v>
      </c>
      <c r="U175" s="181">
        <f t="shared" si="40"/>
        <v>0</v>
      </c>
    </row>
    <row r="176" spans="1:21" x14ac:dyDescent="0.2">
      <c r="B176" s="262"/>
      <c r="C176" s="262"/>
      <c r="D176" s="262"/>
      <c r="E176" s="262"/>
      <c r="F176" s="263"/>
      <c r="G176" s="262"/>
      <c r="H176" s="116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83"/>
    </row>
    <row r="177" spans="1:21" x14ac:dyDescent="0.2">
      <c r="B177" s="264"/>
      <c r="C177" s="264">
        <f>SUBTOTAL(3,C161:C176)</f>
        <v>1</v>
      </c>
      <c r="D177" s="234"/>
      <c r="E177" s="234"/>
      <c r="F177" s="234"/>
      <c r="G177" s="234"/>
      <c r="H177" s="115"/>
      <c r="I177" s="264">
        <f t="shared" ref="I177:R177" si="41">COUNTIF(I160:I176,"&gt;0")</f>
        <v>1</v>
      </c>
      <c r="J177" s="264">
        <f t="shared" si="41"/>
        <v>1</v>
      </c>
      <c r="K177" s="264">
        <f t="shared" si="41"/>
        <v>1</v>
      </c>
      <c r="L177" s="264">
        <f t="shared" si="41"/>
        <v>1</v>
      </c>
      <c r="M177" s="264">
        <f t="shared" si="41"/>
        <v>1</v>
      </c>
      <c r="N177" s="264">
        <f t="shared" si="41"/>
        <v>1</v>
      </c>
      <c r="O177" s="264">
        <f t="shared" si="41"/>
        <v>1</v>
      </c>
      <c r="P177" s="264">
        <f t="shared" si="41"/>
        <v>1</v>
      </c>
      <c r="Q177" s="264">
        <f t="shared" si="41"/>
        <v>1</v>
      </c>
      <c r="R177" s="264">
        <f t="shared" si="41"/>
        <v>1</v>
      </c>
      <c r="S177" s="264">
        <f>COUNTIF(S160:S176,"&gt;0")</f>
        <v>1</v>
      </c>
      <c r="T177" s="264">
        <f t="shared" ref="T177:U177" si="42">COUNTIF(T160:T176,"&gt;0")</f>
        <v>1</v>
      </c>
      <c r="U177" s="278">
        <f t="shared" si="42"/>
        <v>1</v>
      </c>
    </row>
    <row r="178" spans="1:21" x14ac:dyDescent="0.2">
      <c r="B178" s="230" t="s">
        <v>128</v>
      </c>
      <c r="C178" s="230"/>
      <c r="D178" s="230"/>
      <c r="E178" s="230"/>
      <c r="F178" s="230"/>
      <c r="G178" s="230"/>
      <c r="H178" s="230"/>
      <c r="I178" s="104">
        <f>SUM(I161:I176)</f>
        <v>13750</v>
      </c>
      <c r="J178" s="104">
        <f t="shared" ref="J178:U178" si="43">SUM(J161:J176)</f>
        <v>13750</v>
      </c>
      <c r="K178" s="104">
        <f t="shared" si="43"/>
        <v>13750</v>
      </c>
      <c r="L178" s="104">
        <f t="shared" si="43"/>
        <v>13750</v>
      </c>
      <c r="M178" s="104">
        <f t="shared" si="43"/>
        <v>13750</v>
      </c>
      <c r="N178" s="104">
        <f t="shared" si="43"/>
        <v>13750</v>
      </c>
      <c r="O178" s="104">
        <f t="shared" si="43"/>
        <v>13750</v>
      </c>
      <c r="P178" s="104">
        <f t="shared" si="43"/>
        <v>13750</v>
      </c>
      <c r="Q178" s="104">
        <f t="shared" si="43"/>
        <v>13750</v>
      </c>
      <c r="R178" s="104">
        <f t="shared" si="43"/>
        <v>13750</v>
      </c>
      <c r="S178" s="104">
        <f t="shared" si="43"/>
        <v>13750</v>
      </c>
      <c r="T178" s="104">
        <f t="shared" si="43"/>
        <v>13750</v>
      </c>
      <c r="U178" s="184">
        <f t="shared" si="43"/>
        <v>165000</v>
      </c>
    </row>
    <row r="179" spans="1:21" x14ac:dyDescent="0.2">
      <c r="U179" s="181"/>
    </row>
    <row r="180" spans="1:21" x14ac:dyDescent="0.2">
      <c r="B180" s="254" t="s">
        <v>129</v>
      </c>
      <c r="C180" s="299" t="s">
        <v>34</v>
      </c>
      <c r="D180" s="299"/>
      <c r="E180" s="299" t="s">
        <v>35</v>
      </c>
      <c r="F180" s="299"/>
      <c r="G180" s="256"/>
      <c r="U180" s="181"/>
    </row>
    <row r="181" spans="1:21" x14ac:dyDescent="0.2">
      <c r="B181" s="257" t="s">
        <v>37</v>
      </c>
      <c r="C181" s="258" t="s">
        <v>43</v>
      </c>
      <c r="D181" s="259" t="s">
        <v>44</v>
      </c>
      <c r="E181" s="257" t="s">
        <v>40</v>
      </c>
      <c r="F181" s="260" t="s">
        <v>41</v>
      </c>
      <c r="G181" s="261" t="s">
        <v>178</v>
      </c>
      <c r="H181" s="102" t="s">
        <v>13</v>
      </c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82"/>
    </row>
    <row r="182" spans="1:21" x14ac:dyDescent="0.2">
      <c r="A182" s="231" t="s">
        <v>496</v>
      </c>
      <c r="B182" s="262" t="s">
        <v>127</v>
      </c>
      <c r="C182" s="262">
        <v>1</v>
      </c>
      <c r="D182" s="262"/>
      <c r="E182" s="262"/>
      <c r="F182" s="263"/>
      <c r="G182" s="262">
        <v>8810</v>
      </c>
      <c r="H182" s="116">
        <v>160000</v>
      </c>
      <c r="I182" s="100">
        <f t="shared" ref="I182:T183" si="44">IF(I$157&gt;=$C182,$H182/12,0)</f>
        <v>13333.333333333334</v>
      </c>
      <c r="J182" s="100">
        <f t="shared" si="44"/>
        <v>13333.333333333334</v>
      </c>
      <c r="K182" s="100">
        <f t="shared" si="44"/>
        <v>13333.333333333334</v>
      </c>
      <c r="L182" s="100">
        <f t="shared" si="44"/>
        <v>13333.333333333334</v>
      </c>
      <c r="M182" s="100">
        <f t="shared" si="44"/>
        <v>13333.333333333334</v>
      </c>
      <c r="N182" s="100">
        <f t="shared" si="44"/>
        <v>13333.333333333334</v>
      </c>
      <c r="O182" s="100">
        <f t="shared" si="44"/>
        <v>13333.333333333334</v>
      </c>
      <c r="P182" s="100">
        <f t="shared" si="44"/>
        <v>13333.333333333334</v>
      </c>
      <c r="Q182" s="100">
        <f t="shared" si="44"/>
        <v>13333.333333333334</v>
      </c>
      <c r="R182" s="100">
        <f t="shared" si="44"/>
        <v>13333.333333333334</v>
      </c>
      <c r="S182" s="100">
        <f t="shared" si="44"/>
        <v>13333.333333333334</v>
      </c>
      <c r="T182" s="100">
        <f t="shared" si="44"/>
        <v>13333.333333333334</v>
      </c>
      <c r="U182" s="181">
        <f t="shared" ref="U182:U183" si="45">SUM(I182:T182)</f>
        <v>160000</v>
      </c>
    </row>
    <row r="183" spans="1:21" x14ac:dyDescent="0.2">
      <c r="B183" s="262"/>
      <c r="C183" s="262"/>
      <c r="D183" s="262"/>
      <c r="E183" s="262"/>
      <c r="F183" s="263"/>
      <c r="G183" s="262">
        <v>8810</v>
      </c>
      <c r="H183" s="116"/>
      <c r="I183" s="100">
        <f t="shared" si="44"/>
        <v>0</v>
      </c>
      <c r="J183" s="100">
        <f t="shared" si="44"/>
        <v>0</v>
      </c>
      <c r="K183" s="100">
        <f t="shared" si="44"/>
        <v>0</v>
      </c>
      <c r="L183" s="100">
        <f t="shared" si="44"/>
        <v>0</v>
      </c>
      <c r="M183" s="100">
        <f t="shared" si="44"/>
        <v>0</v>
      </c>
      <c r="N183" s="100">
        <f t="shared" si="44"/>
        <v>0</v>
      </c>
      <c r="O183" s="100">
        <f t="shared" si="44"/>
        <v>0</v>
      </c>
      <c r="P183" s="100">
        <f t="shared" si="44"/>
        <v>0</v>
      </c>
      <c r="Q183" s="100">
        <f t="shared" si="44"/>
        <v>0</v>
      </c>
      <c r="R183" s="100">
        <f t="shared" si="44"/>
        <v>0</v>
      </c>
      <c r="S183" s="100">
        <f t="shared" si="44"/>
        <v>0</v>
      </c>
      <c r="T183" s="100">
        <f t="shared" si="44"/>
        <v>0</v>
      </c>
      <c r="U183" s="181">
        <f t="shared" si="45"/>
        <v>0</v>
      </c>
    </row>
    <row r="184" spans="1:21" x14ac:dyDescent="0.2">
      <c r="B184" s="262"/>
      <c r="C184" s="262"/>
      <c r="D184" s="262"/>
      <c r="E184" s="262"/>
      <c r="F184" s="263"/>
      <c r="G184" s="262"/>
      <c r="H184" s="116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83"/>
    </row>
    <row r="185" spans="1:21" x14ac:dyDescent="0.2">
      <c r="B185" s="264"/>
      <c r="C185" s="264">
        <f>SUBTOTAL(3,C182:C184)</f>
        <v>1</v>
      </c>
      <c r="D185" s="234"/>
      <c r="E185" s="234"/>
      <c r="F185" s="234"/>
      <c r="G185" s="234"/>
      <c r="H185" s="115"/>
      <c r="I185" s="264">
        <f>COUNTIF(I181:I184,"&gt;0")</f>
        <v>1</v>
      </c>
      <c r="J185" s="264">
        <f t="shared" ref="J185:U185" si="46">COUNTIF(J181:J184,"&gt;0")</f>
        <v>1</v>
      </c>
      <c r="K185" s="264">
        <f t="shared" si="46"/>
        <v>1</v>
      </c>
      <c r="L185" s="264">
        <f t="shared" si="46"/>
        <v>1</v>
      </c>
      <c r="M185" s="264">
        <f t="shared" si="46"/>
        <v>1</v>
      </c>
      <c r="N185" s="264">
        <f t="shared" si="46"/>
        <v>1</v>
      </c>
      <c r="O185" s="264">
        <f t="shared" si="46"/>
        <v>1</v>
      </c>
      <c r="P185" s="264">
        <f t="shared" si="46"/>
        <v>1</v>
      </c>
      <c r="Q185" s="264">
        <f t="shared" si="46"/>
        <v>1</v>
      </c>
      <c r="R185" s="264">
        <f t="shared" si="46"/>
        <v>1</v>
      </c>
      <c r="S185" s="264">
        <f t="shared" si="46"/>
        <v>1</v>
      </c>
      <c r="T185" s="264">
        <f t="shared" si="46"/>
        <v>1</v>
      </c>
      <c r="U185" s="278">
        <f t="shared" si="46"/>
        <v>1</v>
      </c>
    </row>
    <row r="186" spans="1:21" x14ac:dyDescent="0.2">
      <c r="B186" s="230" t="s">
        <v>130</v>
      </c>
      <c r="C186" s="230"/>
      <c r="D186" s="230"/>
      <c r="E186" s="230"/>
      <c r="F186" s="230"/>
      <c r="G186" s="230"/>
      <c r="H186" s="230"/>
      <c r="I186" s="104">
        <f>SUM(I181:I184)</f>
        <v>13333.333333333334</v>
      </c>
      <c r="J186" s="104">
        <f t="shared" ref="J186:U186" si="47">SUM(J181:J184)</f>
        <v>13333.333333333334</v>
      </c>
      <c r="K186" s="104">
        <f t="shared" si="47"/>
        <v>13333.333333333334</v>
      </c>
      <c r="L186" s="104">
        <f t="shared" si="47"/>
        <v>13333.333333333334</v>
      </c>
      <c r="M186" s="104">
        <f t="shared" si="47"/>
        <v>13333.333333333334</v>
      </c>
      <c r="N186" s="104">
        <f t="shared" si="47"/>
        <v>13333.333333333334</v>
      </c>
      <c r="O186" s="104">
        <f t="shared" si="47"/>
        <v>13333.333333333334</v>
      </c>
      <c r="P186" s="104">
        <f t="shared" si="47"/>
        <v>13333.333333333334</v>
      </c>
      <c r="Q186" s="104">
        <f t="shared" si="47"/>
        <v>13333.333333333334</v>
      </c>
      <c r="R186" s="104">
        <f t="shared" si="47"/>
        <v>13333.333333333334</v>
      </c>
      <c r="S186" s="104">
        <f t="shared" si="47"/>
        <v>13333.333333333334</v>
      </c>
      <c r="T186" s="104">
        <f t="shared" si="47"/>
        <v>13333.333333333334</v>
      </c>
      <c r="U186" s="184">
        <f t="shared" si="47"/>
        <v>160000</v>
      </c>
    </row>
    <row r="187" spans="1:21" x14ac:dyDescent="0.2">
      <c r="U187" s="181"/>
    </row>
    <row r="188" spans="1:21" x14ac:dyDescent="0.2">
      <c r="B188" s="254" t="s">
        <v>131</v>
      </c>
      <c r="C188" s="299" t="s">
        <v>34</v>
      </c>
      <c r="D188" s="299"/>
      <c r="E188" s="299" t="s">
        <v>35</v>
      </c>
      <c r="F188" s="299"/>
      <c r="G188" s="256"/>
      <c r="U188" s="181"/>
    </row>
    <row r="189" spans="1:21" x14ac:dyDescent="0.2">
      <c r="B189" s="257" t="s">
        <v>37</v>
      </c>
      <c r="C189" s="258" t="s">
        <v>43</v>
      </c>
      <c r="D189" s="259" t="s">
        <v>44</v>
      </c>
      <c r="E189" s="257" t="s">
        <v>40</v>
      </c>
      <c r="F189" s="260" t="s">
        <v>41</v>
      </c>
      <c r="G189" s="261" t="s">
        <v>178</v>
      </c>
      <c r="H189" s="102" t="s">
        <v>13</v>
      </c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82"/>
    </row>
    <row r="190" spans="1:21" x14ac:dyDescent="0.2">
      <c r="A190" s="231" t="s">
        <v>496</v>
      </c>
      <c r="B190" s="262" t="s">
        <v>169</v>
      </c>
      <c r="C190" s="262"/>
      <c r="D190" s="262"/>
      <c r="E190" s="262"/>
      <c r="F190" s="263"/>
      <c r="G190" s="262">
        <v>8810</v>
      </c>
      <c r="H190" s="116"/>
      <c r="I190" s="100">
        <f t="shared" ref="I190:T191" si="48">IF(I$157&gt;=$C190,$H190/12,0)</f>
        <v>0</v>
      </c>
      <c r="J190" s="100">
        <f t="shared" si="48"/>
        <v>0</v>
      </c>
      <c r="K190" s="100">
        <f t="shared" si="48"/>
        <v>0</v>
      </c>
      <c r="L190" s="100">
        <f t="shared" si="48"/>
        <v>0</v>
      </c>
      <c r="M190" s="100">
        <f t="shared" si="48"/>
        <v>0</v>
      </c>
      <c r="N190" s="100">
        <f t="shared" si="48"/>
        <v>0</v>
      </c>
      <c r="O190" s="100">
        <f t="shared" si="48"/>
        <v>0</v>
      </c>
      <c r="P190" s="100">
        <f t="shared" si="48"/>
        <v>0</v>
      </c>
      <c r="Q190" s="100">
        <f t="shared" si="48"/>
        <v>0</v>
      </c>
      <c r="R190" s="100">
        <f t="shared" si="48"/>
        <v>0</v>
      </c>
      <c r="S190" s="100">
        <f t="shared" si="48"/>
        <v>0</v>
      </c>
      <c r="T190" s="100">
        <f t="shared" si="48"/>
        <v>0</v>
      </c>
      <c r="U190" s="181">
        <f t="shared" ref="U190:U191" si="49">SUM(I190:T190)</f>
        <v>0</v>
      </c>
    </row>
    <row r="191" spans="1:21" x14ac:dyDescent="0.2">
      <c r="B191" s="262"/>
      <c r="C191" s="262"/>
      <c r="D191" s="262"/>
      <c r="E191" s="262"/>
      <c r="F191" s="263"/>
      <c r="G191" s="262">
        <v>8810</v>
      </c>
      <c r="H191" s="116"/>
      <c r="I191" s="100">
        <f t="shared" si="48"/>
        <v>0</v>
      </c>
      <c r="J191" s="100">
        <f t="shared" si="48"/>
        <v>0</v>
      </c>
      <c r="K191" s="100">
        <f t="shared" si="48"/>
        <v>0</v>
      </c>
      <c r="L191" s="100">
        <f t="shared" si="48"/>
        <v>0</v>
      </c>
      <c r="M191" s="100">
        <f t="shared" si="48"/>
        <v>0</v>
      </c>
      <c r="N191" s="100">
        <f t="shared" si="48"/>
        <v>0</v>
      </c>
      <c r="O191" s="100">
        <f t="shared" si="48"/>
        <v>0</v>
      </c>
      <c r="P191" s="100">
        <f t="shared" si="48"/>
        <v>0</v>
      </c>
      <c r="Q191" s="100">
        <f t="shared" si="48"/>
        <v>0</v>
      </c>
      <c r="R191" s="100">
        <f t="shared" si="48"/>
        <v>0</v>
      </c>
      <c r="S191" s="100">
        <f t="shared" si="48"/>
        <v>0</v>
      </c>
      <c r="T191" s="100">
        <f t="shared" si="48"/>
        <v>0</v>
      </c>
      <c r="U191" s="181">
        <f t="shared" si="49"/>
        <v>0</v>
      </c>
    </row>
    <row r="192" spans="1:21" x14ac:dyDescent="0.2">
      <c r="B192" s="262"/>
      <c r="C192" s="262"/>
      <c r="D192" s="262"/>
      <c r="E192" s="262"/>
      <c r="F192" s="263"/>
      <c r="G192" s="262"/>
      <c r="H192" s="116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83"/>
    </row>
    <row r="193" spans="1:21" x14ac:dyDescent="0.2">
      <c r="B193" s="264"/>
      <c r="C193" s="264">
        <f>SUBTOTAL(3,C190:C192)</f>
        <v>0</v>
      </c>
      <c r="D193" s="234"/>
      <c r="E193" s="234"/>
      <c r="F193" s="234"/>
      <c r="G193" s="234"/>
      <c r="H193" s="117"/>
      <c r="I193" s="264">
        <f>COUNTIF(I189:I192,"&gt;0")</f>
        <v>0</v>
      </c>
      <c r="J193" s="264">
        <f t="shared" ref="J193:U193" si="50">COUNTIF(J189:J192,"&gt;0")</f>
        <v>0</v>
      </c>
      <c r="K193" s="264">
        <f t="shared" si="50"/>
        <v>0</v>
      </c>
      <c r="L193" s="264">
        <f t="shared" si="50"/>
        <v>0</v>
      </c>
      <c r="M193" s="264">
        <f t="shared" si="50"/>
        <v>0</v>
      </c>
      <c r="N193" s="264">
        <f t="shared" si="50"/>
        <v>0</v>
      </c>
      <c r="O193" s="264">
        <f t="shared" si="50"/>
        <v>0</v>
      </c>
      <c r="P193" s="264">
        <f t="shared" si="50"/>
        <v>0</v>
      </c>
      <c r="Q193" s="264">
        <f t="shared" si="50"/>
        <v>0</v>
      </c>
      <c r="R193" s="264">
        <f t="shared" si="50"/>
        <v>0</v>
      </c>
      <c r="S193" s="264">
        <f t="shared" si="50"/>
        <v>0</v>
      </c>
      <c r="T193" s="264">
        <f t="shared" si="50"/>
        <v>0</v>
      </c>
      <c r="U193" s="278">
        <f t="shared" si="50"/>
        <v>0</v>
      </c>
    </row>
    <row r="194" spans="1:21" x14ac:dyDescent="0.2">
      <c r="B194" s="230" t="s">
        <v>132</v>
      </c>
      <c r="C194" s="230"/>
      <c r="D194" s="230"/>
      <c r="E194" s="230"/>
      <c r="F194" s="230"/>
      <c r="G194" s="230"/>
      <c r="H194" s="230"/>
      <c r="I194" s="104">
        <f t="shared" ref="I194:U194" si="51">SUM(I190:I192)</f>
        <v>0</v>
      </c>
      <c r="J194" s="104">
        <f t="shared" si="51"/>
        <v>0</v>
      </c>
      <c r="K194" s="104">
        <f t="shared" si="51"/>
        <v>0</v>
      </c>
      <c r="L194" s="104">
        <f t="shared" si="51"/>
        <v>0</v>
      </c>
      <c r="M194" s="104">
        <f t="shared" si="51"/>
        <v>0</v>
      </c>
      <c r="N194" s="104">
        <f t="shared" si="51"/>
        <v>0</v>
      </c>
      <c r="O194" s="104">
        <f t="shared" si="51"/>
        <v>0</v>
      </c>
      <c r="P194" s="104">
        <f t="shared" si="51"/>
        <v>0</v>
      </c>
      <c r="Q194" s="104">
        <f t="shared" si="51"/>
        <v>0</v>
      </c>
      <c r="R194" s="104">
        <f t="shared" si="51"/>
        <v>0</v>
      </c>
      <c r="S194" s="104">
        <f t="shared" si="51"/>
        <v>0</v>
      </c>
      <c r="T194" s="104">
        <f t="shared" si="51"/>
        <v>0</v>
      </c>
      <c r="U194" s="184">
        <f t="shared" si="51"/>
        <v>0</v>
      </c>
    </row>
    <row r="195" spans="1:21" x14ac:dyDescent="0.2">
      <c r="U195" s="181"/>
    </row>
    <row r="196" spans="1:21" x14ac:dyDescent="0.2">
      <c r="B196" s="254" t="s">
        <v>133</v>
      </c>
      <c r="C196" s="299" t="s">
        <v>34</v>
      </c>
      <c r="D196" s="299"/>
      <c r="E196" s="299" t="s">
        <v>35</v>
      </c>
      <c r="F196" s="299"/>
      <c r="G196" s="256"/>
      <c r="U196" s="181"/>
    </row>
    <row r="197" spans="1:21" x14ac:dyDescent="0.2">
      <c r="B197" s="257" t="s">
        <v>37</v>
      </c>
      <c r="C197" s="258" t="s">
        <v>43</v>
      </c>
      <c r="D197" s="259" t="s">
        <v>44</v>
      </c>
      <c r="E197" s="257" t="s">
        <v>40</v>
      </c>
      <c r="F197" s="260" t="s">
        <v>41</v>
      </c>
      <c r="G197" s="261" t="s">
        <v>179</v>
      </c>
      <c r="H197" s="102" t="s">
        <v>13</v>
      </c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82"/>
    </row>
    <row r="198" spans="1:21" x14ac:dyDescent="0.2">
      <c r="A198" s="231" t="s">
        <v>496</v>
      </c>
      <c r="B198" s="262" t="s">
        <v>272</v>
      </c>
      <c r="C198" s="262"/>
      <c r="D198" s="262"/>
      <c r="E198" s="262"/>
      <c r="F198" s="263"/>
      <c r="G198" s="262">
        <v>8291</v>
      </c>
      <c r="H198" s="116"/>
      <c r="I198" s="100">
        <f t="shared" ref="I198:T207" si="52">IF(I$157&gt;=$C198,$H198/12,0)</f>
        <v>0</v>
      </c>
      <c r="J198" s="100">
        <f t="shared" si="52"/>
        <v>0</v>
      </c>
      <c r="K198" s="100">
        <f t="shared" si="52"/>
        <v>0</v>
      </c>
      <c r="L198" s="100">
        <f t="shared" si="52"/>
        <v>0</v>
      </c>
      <c r="M198" s="100">
        <f t="shared" si="52"/>
        <v>0</v>
      </c>
      <c r="N198" s="100">
        <f t="shared" si="52"/>
        <v>0</v>
      </c>
      <c r="O198" s="100">
        <f t="shared" si="52"/>
        <v>0</v>
      </c>
      <c r="P198" s="100">
        <f t="shared" si="52"/>
        <v>0</v>
      </c>
      <c r="Q198" s="100">
        <f t="shared" si="52"/>
        <v>0</v>
      </c>
      <c r="R198" s="100">
        <f t="shared" si="52"/>
        <v>0</v>
      </c>
      <c r="S198" s="100">
        <f t="shared" si="52"/>
        <v>0</v>
      </c>
      <c r="T198" s="100">
        <f t="shared" si="52"/>
        <v>0</v>
      </c>
      <c r="U198" s="181">
        <f t="shared" ref="U198:U207" si="53">SUM(I198:T198)</f>
        <v>0</v>
      </c>
    </row>
    <row r="199" spans="1:21" x14ac:dyDescent="0.2">
      <c r="A199" s="231" t="s">
        <v>496</v>
      </c>
      <c r="B199" s="262" t="s">
        <v>310</v>
      </c>
      <c r="C199" s="262"/>
      <c r="D199" s="262"/>
      <c r="E199" s="262"/>
      <c r="F199" s="263"/>
      <c r="G199" s="262">
        <v>8291</v>
      </c>
      <c r="H199" s="116"/>
      <c r="I199" s="100">
        <f t="shared" si="52"/>
        <v>0</v>
      </c>
      <c r="J199" s="100">
        <f t="shared" si="52"/>
        <v>0</v>
      </c>
      <c r="K199" s="100">
        <f t="shared" si="52"/>
        <v>0</v>
      </c>
      <c r="L199" s="100">
        <f t="shared" si="52"/>
        <v>0</v>
      </c>
      <c r="M199" s="100">
        <f t="shared" si="52"/>
        <v>0</v>
      </c>
      <c r="N199" s="100">
        <f t="shared" si="52"/>
        <v>0</v>
      </c>
      <c r="O199" s="100">
        <f t="shared" si="52"/>
        <v>0</v>
      </c>
      <c r="P199" s="100">
        <f t="shared" si="52"/>
        <v>0</v>
      </c>
      <c r="Q199" s="100">
        <f t="shared" si="52"/>
        <v>0</v>
      </c>
      <c r="R199" s="100">
        <f t="shared" si="52"/>
        <v>0</v>
      </c>
      <c r="S199" s="100">
        <f t="shared" si="52"/>
        <v>0</v>
      </c>
      <c r="T199" s="100">
        <f t="shared" si="52"/>
        <v>0</v>
      </c>
      <c r="U199" s="181">
        <f t="shared" si="53"/>
        <v>0</v>
      </c>
    </row>
    <row r="200" spans="1:21" x14ac:dyDescent="0.2">
      <c r="A200" s="231" t="s">
        <v>496</v>
      </c>
      <c r="B200" s="262" t="s">
        <v>311</v>
      </c>
      <c r="C200" s="262"/>
      <c r="D200" s="262"/>
      <c r="E200" s="262"/>
      <c r="F200" s="263"/>
      <c r="G200" s="262">
        <v>8291</v>
      </c>
      <c r="H200" s="116"/>
      <c r="I200" s="100">
        <f t="shared" si="52"/>
        <v>0</v>
      </c>
      <c r="J200" s="100">
        <f t="shared" si="52"/>
        <v>0</v>
      </c>
      <c r="K200" s="100">
        <f t="shared" si="52"/>
        <v>0</v>
      </c>
      <c r="L200" s="100">
        <f t="shared" si="52"/>
        <v>0</v>
      </c>
      <c r="M200" s="100">
        <f t="shared" si="52"/>
        <v>0</v>
      </c>
      <c r="N200" s="100">
        <f t="shared" si="52"/>
        <v>0</v>
      </c>
      <c r="O200" s="100">
        <f t="shared" si="52"/>
        <v>0</v>
      </c>
      <c r="P200" s="100">
        <f t="shared" si="52"/>
        <v>0</v>
      </c>
      <c r="Q200" s="100">
        <f t="shared" si="52"/>
        <v>0</v>
      </c>
      <c r="R200" s="100">
        <f t="shared" si="52"/>
        <v>0</v>
      </c>
      <c r="S200" s="100">
        <f t="shared" si="52"/>
        <v>0</v>
      </c>
      <c r="T200" s="100">
        <f t="shared" si="52"/>
        <v>0</v>
      </c>
      <c r="U200" s="181">
        <f t="shared" si="53"/>
        <v>0</v>
      </c>
    </row>
    <row r="201" spans="1:21" x14ac:dyDescent="0.2">
      <c r="A201" s="231" t="s">
        <v>496</v>
      </c>
      <c r="B201" s="262" t="s">
        <v>312</v>
      </c>
      <c r="C201" s="262"/>
      <c r="D201" s="262"/>
      <c r="E201" s="262"/>
      <c r="F201" s="263"/>
      <c r="G201" s="262">
        <v>8291</v>
      </c>
      <c r="H201" s="116"/>
      <c r="I201" s="100">
        <f t="shared" si="52"/>
        <v>0</v>
      </c>
      <c r="J201" s="100">
        <f t="shared" si="52"/>
        <v>0</v>
      </c>
      <c r="K201" s="100">
        <f t="shared" si="52"/>
        <v>0</v>
      </c>
      <c r="L201" s="100">
        <f t="shared" si="52"/>
        <v>0</v>
      </c>
      <c r="M201" s="100">
        <f t="shared" si="52"/>
        <v>0</v>
      </c>
      <c r="N201" s="100">
        <f t="shared" si="52"/>
        <v>0</v>
      </c>
      <c r="O201" s="100">
        <f t="shared" si="52"/>
        <v>0</v>
      </c>
      <c r="P201" s="100">
        <f t="shared" si="52"/>
        <v>0</v>
      </c>
      <c r="Q201" s="100">
        <f t="shared" si="52"/>
        <v>0</v>
      </c>
      <c r="R201" s="100">
        <f t="shared" si="52"/>
        <v>0</v>
      </c>
      <c r="S201" s="100">
        <f t="shared" si="52"/>
        <v>0</v>
      </c>
      <c r="T201" s="100">
        <f t="shared" si="52"/>
        <v>0</v>
      </c>
      <c r="U201" s="181">
        <f t="shared" si="53"/>
        <v>0</v>
      </c>
    </row>
    <row r="202" spans="1:21" x14ac:dyDescent="0.2">
      <c r="B202" s="262"/>
      <c r="C202" s="262"/>
      <c r="D202" s="262"/>
      <c r="E202" s="262"/>
      <c r="F202" s="263"/>
      <c r="G202" s="262">
        <v>8291</v>
      </c>
      <c r="H202" s="116"/>
      <c r="I202" s="100">
        <f t="shared" si="52"/>
        <v>0</v>
      </c>
      <c r="J202" s="100">
        <f t="shared" si="52"/>
        <v>0</v>
      </c>
      <c r="K202" s="100">
        <f t="shared" si="52"/>
        <v>0</v>
      </c>
      <c r="L202" s="100">
        <f t="shared" si="52"/>
        <v>0</v>
      </c>
      <c r="M202" s="100">
        <f t="shared" si="52"/>
        <v>0</v>
      </c>
      <c r="N202" s="100">
        <f t="shared" si="52"/>
        <v>0</v>
      </c>
      <c r="O202" s="100">
        <f t="shared" si="52"/>
        <v>0</v>
      </c>
      <c r="P202" s="100">
        <f t="shared" si="52"/>
        <v>0</v>
      </c>
      <c r="Q202" s="100">
        <f t="shared" si="52"/>
        <v>0</v>
      </c>
      <c r="R202" s="100">
        <f t="shared" si="52"/>
        <v>0</v>
      </c>
      <c r="S202" s="100">
        <f t="shared" si="52"/>
        <v>0</v>
      </c>
      <c r="T202" s="100">
        <f t="shared" si="52"/>
        <v>0</v>
      </c>
      <c r="U202" s="181">
        <f t="shared" si="53"/>
        <v>0</v>
      </c>
    </row>
    <row r="203" spans="1:21" x14ac:dyDescent="0.2">
      <c r="B203" s="262"/>
      <c r="C203" s="262"/>
      <c r="D203" s="262"/>
      <c r="E203" s="262"/>
      <c r="F203" s="263"/>
      <c r="G203" s="262">
        <v>8291</v>
      </c>
      <c r="H203" s="116"/>
      <c r="I203" s="100">
        <f t="shared" si="52"/>
        <v>0</v>
      </c>
      <c r="J203" s="100">
        <f t="shared" si="52"/>
        <v>0</v>
      </c>
      <c r="K203" s="100">
        <f t="shared" si="52"/>
        <v>0</v>
      </c>
      <c r="L203" s="100">
        <f t="shared" si="52"/>
        <v>0</v>
      </c>
      <c r="M203" s="100">
        <f t="shared" si="52"/>
        <v>0</v>
      </c>
      <c r="N203" s="100">
        <f t="shared" si="52"/>
        <v>0</v>
      </c>
      <c r="O203" s="100">
        <f t="shared" si="52"/>
        <v>0</v>
      </c>
      <c r="P203" s="100">
        <f t="shared" si="52"/>
        <v>0</v>
      </c>
      <c r="Q203" s="100">
        <f t="shared" si="52"/>
        <v>0</v>
      </c>
      <c r="R203" s="100">
        <f t="shared" si="52"/>
        <v>0</v>
      </c>
      <c r="S203" s="100">
        <f t="shared" si="52"/>
        <v>0</v>
      </c>
      <c r="T203" s="100">
        <f t="shared" si="52"/>
        <v>0</v>
      </c>
      <c r="U203" s="181">
        <f t="shared" si="53"/>
        <v>0</v>
      </c>
    </row>
    <row r="204" spans="1:21" x14ac:dyDescent="0.2">
      <c r="B204" s="262"/>
      <c r="C204" s="262"/>
      <c r="D204" s="262"/>
      <c r="E204" s="262"/>
      <c r="F204" s="263"/>
      <c r="G204" s="262">
        <v>8291</v>
      </c>
      <c r="H204" s="116"/>
      <c r="I204" s="100">
        <f t="shared" si="52"/>
        <v>0</v>
      </c>
      <c r="J204" s="100">
        <f t="shared" si="52"/>
        <v>0</v>
      </c>
      <c r="K204" s="100">
        <f t="shared" si="52"/>
        <v>0</v>
      </c>
      <c r="L204" s="100">
        <f t="shared" si="52"/>
        <v>0</v>
      </c>
      <c r="M204" s="100">
        <f t="shared" si="52"/>
        <v>0</v>
      </c>
      <c r="N204" s="100">
        <f t="shared" si="52"/>
        <v>0</v>
      </c>
      <c r="O204" s="100">
        <f t="shared" si="52"/>
        <v>0</v>
      </c>
      <c r="P204" s="100">
        <f t="shared" si="52"/>
        <v>0</v>
      </c>
      <c r="Q204" s="100">
        <f t="shared" si="52"/>
        <v>0</v>
      </c>
      <c r="R204" s="100">
        <f t="shared" si="52"/>
        <v>0</v>
      </c>
      <c r="S204" s="100">
        <f t="shared" si="52"/>
        <v>0</v>
      </c>
      <c r="T204" s="100">
        <f t="shared" si="52"/>
        <v>0</v>
      </c>
      <c r="U204" s="181">
        <f t="shared" si="53"/>
        <v>0</v>
      </c>
    </row>
    <row r="205" spans="1:21" x14ac:dyDescent="0.2">
      <c r="B205" s="262"/>
      <c r="C205" s="262"/>
      <c r="D205" s="262"/>
      <c r="E205" s="262"/>
      <c r="F205" s="263"/>
      <c r="G205" s="262">
        <v>8291</v>
      </c>
      <c r="H205" s="116"/>
      <c r="I205" s="100">
        <f t="shared" si="52"/>
        <v>0</v>
      </c>
      <c r="J205" s="100">
        <f t="shared" si="52"/>
        <v>0</v>
      </c>
      <c r="K205" s="100">
        <f t="shared" si="52"/>
        <v>0</v>
      </c>
      <c r="L205" s="100">
        <f t="shared" si="52"/>
        <v>0</v>
      </c>
      <c r="M205" s="100">
        <f t="shared" si="52"/>
        <v>0</v>
      </c>
      <c r="N205" s="100">
        <f t="shared" si="52"/>
        <v>0</v>
      </c>
      <c r="O205" s="100">
        <f t="shared" si="52"/>
        <v>0</v>
      </c>
      <c r="P205" s="100">
        <f t="shared" si="52"/>
        <v>0</v>
      </c>
      <c r="Q205" s="100">
        <f t="shared" si="52"/>
        <v>0</v>
      </c>
      <c r="R205" s="100">
        <f t="shared" si="52"/>
        <v>0</v>
      </c>
      <c r="S205" s="100">
        <f t="shared" si="52"/>
        <v>0</v>
      </c>
      <c r="T205" s="100">
        <f t="shared" si="52"/>
        <v>0</v>
      </c>
      <c r="U205" s="181">
        <f t="shared" si="53"/>
        <v>0</v>
      </c>
    </row>
    <row r="206" spans="1:21" x14ac:dyDescent="0.2">
      <c r="B206" s="262"/>
      <c r="C206" s="262"/>
      <c r="D206" s="262"/>
      <c r="E206" s="262"/>
      <c r="F206" s="263"/>
      <c r="G206" s="262">
        <v>8291</v>
      </c>
      <c r="H206" s="116"/>
      <c r="I206" s="100">
        <f t="shared" si="52"/>
        <v>0</v>
      </c>
      <c r="J206" s="100">
        <f t="shared" si="52"/>
        <v>0</v>
      </c>
      <c r="K206" s="100">
        <f t="shared" si="52"/>
        <v>0</v>
      </c>
      <c r="L206" s="100">
        <f t="shared" si="52"/>
        <v>0</v>
      </c>
      <c r="M206" s="100">
        <f t="shared" si="52"/>
        <v>0</v>
      </c>
      <c r="N206" s="100">
        <f t="shared" si="52"/>
        <v>0</v>
      </c>
      <c r="O206" s="100">
        <f t="shared" si="52"/>
        <v>0</v>
      </c>
      <c r="P206" s="100">
        <f t="shared" si="52"/>
        <v>0</v>
      </c>
      <c r="Q206" s="100">
        <f t="shared" si="52"/>
        <v>0</v>
      </c>
      <c r="R206" s="100">
        <f t="shared" si="52"/>
        <v>0</v>
      </c>
      <c r="S206" s="100">
        <f t="shared" si="52"/>
        <v>0</v>
      </c>
      <c r="T206" s="100">
        <f t="shared" si="52"/>
        <v>0</v>
      </c>
      <c r="U206" s="181">
        <f t="shared" si="53"/>
        <v>0</v>
      </c>
    </row>
    <row r="207" spans="1:21" x14ac:dyDescent="0.2">
      <c r="B207" s="262"/>
      <c r="C207" s="262"/>
      <c r="D207" s="262"/>
      <c r="E207" s="262"/>
      <c r="F207" s="263"/>
      <c r="G207" s="262">
        <v>8291</v>
      </c>
      <c r="H207" s="116"/>
      <c r="I207" s="100">
        <f t="shared" si="52"/>
        <v>0</v>
      </c>
      <c r="J207" s="100">
        <f t="shared" si="52"/>
        <v>0</v>
      </c>
      <c r="K207" s="100">
        <f t="shared" si="52"/>
        <v>0</v>
      </c>
      <c r="L207" s="100">
        <f t="shared" si="52"/>
        <v>0</v>
      </c>
      <c r="M207" s="100">
        <f t="shared" si="52"/>
        <v>0</v>
      </c>
      <c r="N207" s="100">
        <f t="shared" si="52"/>
        <v>0</v>
      </c>
      <c r="O207" s="100">
        <f t="shared" si="52"/>
        <v>0</v>
      </c>
      <c r="P207" s="100">
        <f t="shared" si="52"/>
        <v>0</v>
      </c>
      <c r="Q207" s="100">
        <f t="shared" si="52"/>
        <v>0</v>
      </c>
      <c r="R207" s="100">
        <f t="shared" si="52"/>
        <v>0</v>
      </c>
      <c r="S207" s="100">
        <f t="shared" si="52"/>
        <v>0</v>
      </c>
      <c r="T207" s="100">
        <f t="shared" si="52"/>
        <v>0</v>
      </c>
      <c r="U207" s="181">
        <f t="shared" si="53"/>
        <v>0</v>
      </c>
    </row>
    <row r="208" spans="1:21" x14ac:dyDescent="0.2">
      <c r="B208" s="262"/>
      <c r="C208" s="262"/>
      <c r="D208" s="262"/>
      <c r="E208" s="262"/>
      <c r="F208" s="263"/>
      <c r="G208" s="262"/>
      <c r="H208" s="116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83"/>
    </row>
    <row r="209" spans="1:21" x14ac:dyDescent="0.2">
      <c r="B209" s="264"/>
      <c r="C209" s="264">
        <f>SUBTOTAL(3,C198:C208)</f>
        <v>0</v>
      </c>
      <c r="D209" s="234"/>
      <c r="E209" s="234"/>
      <c r="F209" s="234"/>
      <c r="G209" s="234"/>
      <c r="H209" s="118"/>
      <c r="I209" s="264">
        <f>COUNTIF(I197:I208,"&gt;0")</f>
        <v>0</v>
      </c>
      <c r="J209" s="264">
        <f t="shared" ref="J209:U209" si="54">COUNTIF(J197:J208,"&gt;0")</f>
        <v>0</v>
      </c>
      <c r="K209" s="264">
        <f t="shared" si="54"/>
        <v>0</v>
      </c>
      <c r="L209" s="264">
        <f t="shared" si="54"/>
        <v>0</v>
      </c>
      <c r="M209" s="264">
        <f t="shared" si="54"/>
        <v>0</v>
      </c>
      <c r="N209" s="264">
        <f t="shared" si="54"/>
        <v>0</v>
      </c>
      <c r="O209" s="264">
        <f t="shared" si="54"/>
        <v>0</v>
      </c>
      <c r="P209" s="264">
        <f t="shared" si="54"/>
        <v>0</v>
      </c>
      <c r="Q209" s="264">
        <f t="shared" si="54"/>
        <v>0</v>
      </c>
      <c r="R209" s="264">
        <f t="shared" si="54"/>
        <v>0</v>
      </c>
      <c r="S209" s="264">
        <f t="shared" si="54"/>
        <v>0</v>
      </c>
      <c r="T209" s="264">
        <f t="shared" si="54"/>
        <v>0</v>
      </c>
      <c r="U209" s="278">
        <f t="shared" si="54"/>
        <v>0</v>
      </c>
    </row>
    <row r="210" spans="1:21" x14ac:dyDescent="0.2">
      <c r="B210" s="230" t="s">
        <v>134</v>
      </c>
      <c r="C210" s="230"/>
      <c r="D210" s="230"/>
      <c r="E210" s="230"/>
      <c r="F210" s="230"/>
      <c r="G210" s="230"/>
      <c r="H210" s="101"/>
      <c r="I210" s="104">
        <f>SUM(I198:I209)</f>
        <v>0</v>
      </c>
      <c r="J210" s="104">
        <f t="shared" ref="J210:U210" si="55">SUM(J198:J208)</f>
        <v>0</v>
      </c>
      <c r="K210" s="104">
        <f t="shared" si="55"/>
        <v>0</v>
      </c>
      <c r="L210" s="104">
        <f t="shared" si="55"/>
        <v>0</v>
      </c>
      <c r="M210" s="104">
        <f t="shared" si="55"/>
        <v>0</v>
      </c>
      <c r="N210" s="104">
        <f t="shared" si="55"/>
        <v>0</v>
      </c>
      <c r="O210" s="104">
        <f t="shared" si="55"/>
        <v>0</v>
      </c>
      <c r="P210" s="104">
        <f t="shared" si="55"/>
        <v>0</v>
      </c>
      <c r="Q210" s="104">
        <f t="shared" si="55"/>
        <v>0</v>
      </c>
      <c r="R210" s="104">
        <f t="shared" si="55"/>
        <v>0</v>
      </c>
      <c r="S210" s="104">
        <f t="shared" si="55"/>
        <v>0</v>
      </c>
      <c r="T210" s="104">
        <f t="shared" si="55"/>
        <v>0</v>
      </c>
      <c r="U210" s="184">
        <f t="shared" si="55"/>
        <v>0</v>
      </c>
    </row>
    <row r="211" spans="1:21" x14ac:dyDescent="0.2">
      <c r="B211" s="254"/>
      <c r="C211" s="254"/>
      <c r="D211" s="254"/>
      <c r="E211" s="254"/>
      <c r="F211" s="254"/>
      <c r="G211" s="254"/>
      <c r="U211" s="181"/>
    </row>
    <row r="212" spans="1:21" x14ac:dyDescent="0.2">
      <c r="B212" s="254" t="s">
        <v>135</v>
      </c>
      <c r="C212" s="299" t="s">
        <v>34</v>
      </c>
      <c r="D212" s="299"/>
      <c r="E212" s="299" t="s">
        <v>35</v>
      </c>
      <c r="F212" s="299"/>
      <c r="G212" s="256"/>
      <c r="U212" s="181"/>
    </row>
    <row r="213" spans="1:21" x14ac:dyDescent="0.2">
      <c r="B213" s="257" t="s">
        <v>37</v>
      </c>
      <c r="C213" s="258" t="s">
        <v>43</v>
      </c>
      <c r="D213" s="259" t="s">
        <v>44</v>
      </c>
      <c r="E213" s="257" t="s">
        <v>40</v>
      </c>
      <c r="F213" s="260" t="s">
        <v>41</v>
      </c>
      <c r="G213" s="261" t="s">
        <v>179</v>
      </c>
      <c r="H213" s="102" t="s">
        <v>13</v>
      </c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82"/>
    </row>
    <row r="214" spans="1:21" x14ac:dyDescent="0.2">
      <c r="A214" s="231" t="s">
        <v>496</v>
      </c>
      <c r="B214" s="262" t="s">
        <v>409</v>
      </c>
      <c r="C214" s="262">
        <v>1</v>
      </c>
      <c r="D214" s="262"/>
      <c r="E214" s="262"/>
      <c r="F214" s="263"/>
      <c r="G214" s="262">
        <v>8291</v>
      </c>
      <c r="H214" s="116">
        <v>125000</v>
      </c>
      <c r="I214" s="100">
        <f t="shared" ref="I214:T224" si="56">IF(I$157&gt;=$C214,$H214/12,0)</f>
        <v>10416.666666666666</v>
      </c>
      <c r="J214" s="100">
        <f t="shared" si="56"/>
        <v>10416.666666666666</v>
      </c>
      <c r="K214" s="100">
        <f t="shared" si="56"/>
        <v>10416.666666666666</v>
      </c>
      <c r="L214" s="100">
        <f t="shared" si="56"/>
        <v>10416.666666666666</v>
      </c>
      <c r="M214" s="100">
        <f t="shared" si="56"/>
        <v>10416.666666666666</v>
      </c>
      <c r="N214" s="100">
        <f t="shared" si="56"/>
        <v>10416.666666666666</v>
      </c>
      <c r="O214" s="100">
        <f t="shared" si="56"/>
        <v>10416.666666666666</v>
      </c>
      <c r="P214" s="100">
        <f t="shared" si="56"/>
        <v>10416.666666666666</v>
      </c>
      <c r="Q214" s="100">
        <f t="shared" si="56"/>
        <v>10416.666666666666</v>
      </c>
      <c r="R214" s="100">
        <f t="shared" si="56"/>
        <v>10416.666666666666</v>
      </c>
      <c r="S214" s="100">
        <f t="shared" si="56"/>
        <v>10416.666666666666</v>
      </c>
      <c r="T214" s="100">
        <f t="shared" si="56"/>
        <v>10416.666666666666</v>
      </c>
      <c r="U214" s="181">
        <f t="shared" ref="U214:U224" si="57">SUM(I214:T214)</f>
        <v>125000.00000000001</v>
      </c>
    </row>
    <row r="215" spans="1:21" x14ac:dyDescent="0.2">
      <c r="A215" s="231" t="s">
        <v>496</v>
      </c>
      <c r="B215" s="262" t="s">
        <v>135</v>
      </c>
      <c r="C215" s="262"/>
      <c r="D215" s="262"/>
      <c r="E215" s="262"/>
      <c r="F215" s="263"/>
      <c r="G215" s="262">
        <v>8291</v>
      </c>
      <c r="H215" s="116"/>
      <c r="I215" s="100">
        <f t="shared" si="56"/>
        <v>0</v>
      </c>
      <c r="J215" s="100">
        <f t="shared" si="56"/>
        <v>0</v>
      </c>
      <c r="K215" s="100">
        <f t="shared" si="56"/>
        <v>0</v>
      </c>
      <c r="L215" s="100">
        <f t="shared" si="56"/>
        <v>0</v>
      </c>
      <c r="M215" s="100">
        <f t="shared" si="56"/>
        <v>0</v>
      </c>
      <c r="N215" s="100">
        <f t="shared" si="56"/>
        <v>0</v>
      </c>
      <c r="O215" s="100">
        <f t="shared" si="56"/>
        <v>0</v>
      </c>
      <c r="P215" s="100">
        <f t="shared" si="56"/>
        <v>0</v>
      </c>
      <c r="Q215" s="100">
        <f t="shared" si="56"/>
        <v>0</v>
      </c>
      <c r="R215" s="100">
        <f t="shared" si="56"/>
        <v>0</v>
      </c>
      <c r="S215" s="100">
        <f t="shared" si="56"/>
        <v>0</v>
      </c>
      <c r="T215" s="100">
        <f t="shared" si="56"/>
        <v>0</v>
      </c>
      <c r="U215" s="181">
        <f t="shared" si="57"/>
        <v>0</v>
      </c>
    </row>
    <row r="216" spans="1:21" x14ac:dyDescent="0.2">
      <c r="B216" s="262"/>
      <c r="C216" s="262"/>
      <c r="D216" s="262"/>
      <c r="E216" s="262"/>
      <c r="F216" s="263"/>
      <c r="G216" s="262">
        <v>9015</v>
      </c>
      <c r="H216" s="116"/>
      <c r="I216" s="100">
        <f t="shared" si="56"/>
        <v>0</v>
      </c>
      <c r="J216" s="100">
        <f t="shared" si="56"/>
        <v>0</v>
      </c>
      <c r="K216" s="100">
        <f t="shared" si="56"/>
        <v>0</v>
      </c>
      <c r="L216" s="100">
        <f t="shared" si="56"/>
        <v>0</v>
      </c>
      <c r="M216" s="100">
        <f t="shared" si="56"/>
        <v>0</v>
      </c>
      <c r="N216" s="100">
        <f t="shared" si="56"/>
        <v>0</v>
      </c>
      <c r="O216" s="100">
        <f t="shared" si="56"/>
        <v>0</v>
      </c>
      <c r="P216" s="100">
        <f t="shared" si="56"/>
        <v>0</v>
      </c>
      <c r="Q216" s="100">
        <f t="shared" si="56"/>
        <v>0</v>
      </c>
      <c r="R216" s="100">
        <f t="shared" si="56"/>
        <v>0</v>
      </c>
      <c r="S216" s="100">
        <f t="shared" si="56"/>
        <v>0</v>
      </c>
      <c r="T216" s="100">
        <f t="shared" si="56"/>
        <v>0</v>
      </c>
      <c r="U216" s="181">
        <f t="shared" si="57"/>
        <v>0</v>
      </c>
    </row>
    <row r="217" spans="1:21" x14ac:dyDescent="0.2">
      <c r="B217" s="262"/>
      <c r="C217" s="262"/>
      <c r="D217" s="262"/>
      <c r="E217" s="262"/>
      <c r="F217" s="263"/>
      <c r="G217" s="262">
        <v>8810</v>
      </c>
      <c r="H217" s="116"/>
      <c r="I217" s="100">
        <f t="shared" si="56"/>
        <v>0</v>
      </c>
      <c r="J217" s="100">
        <f t="shared" si="56"/>
        <v>0</v>
      </c>
      <c r="K217" s="100">
        <f t="shared" si="56"/>
        <v>0</v>
      </c>
      <c r="L217" s="100">
        <f t="shared" si="56"/>
        <v>0</v>
      </c>
      <c r="M217" s="100">
        <f t="shared" si="56"/>
        <v>0</v>
      </c>
      <c r="N217" s="100">
        <f t="shared" si="56"/>
        <v>0</v>
      </c>
      <c r="O217" s="100">
        <f t="shared" si="56"/>
        <v>0</v>
      </c>
      <c r="P217" s="100">
        <f t="shared" si="56"/>
        <v>0</v>
      </c>
      <c r="Q217" s="100">
        <f t="shared" si="56"/>
        <v>0</v>
      </c>
      <c r="R217" s="100">
        <f t="shared" si="56"/>
        <v>0</v>
      </c>
      <c r="S217" s="100">
        <f t="shared" si="56"/>
        <v>0</v>
      </c>
      <c r="T217" s="100">
        <f t="shared" si="56"/>
        <v>0</v>
      </c>
      <c r="U217" s="181">
        <f t="shared" si="57"/>
        <v>0</v>
      </c>
    </row>
    <row r="218" spans="1:21" x14ac:dyDescent="0.2">
      <c r="B218" s="262"/>
      <c r="C218" s="262"/>
      <c r="D218" s="262"/>
      <c r="E218" s="262"/>
      <c r="F218" s="263"/>
      <c r="G218" s="262">
        <v>8810</v>
      </c>
      <c r="H218" s="116"/>
      <c r="I218" s="100">
        <f t="shared" si="56"/>
        <v>0</v>
      </c>
      <c r="J218" s="100">
        <f t="shared" si="56"/>
        <v>0</v>
      </c>
      <c r="K218" s="100">
        <f t="shared" si="56"/>
        <v>0</v>
      </c>
      <c r="L218" s="100">
        <f t="shared" si="56"/>
        <v>0</v>
      </c>
      <c r="M218" s="100">
        <f t="shared" si="56"/>
        <v>0</v>
      </c>
      <c r="N218" s="100">
        <f t="shared" si="56"/>
        <v>0</v>
      </c>
      <c r="O218" s="100">
        <f t="shared" si="56"/>
        <v>0</v>
      </c>
      <c r="P218" s="100">
        <f t="shared" si="56"/>
        <v>0</v>
      </c>
      <c r="Q218" s="100">
        <f t="shared" si="56"/>
        <v>0</v>
      </c>
      <c r="R218" s="100">
        <f t="shared" si="56"/>
        <v>0</v>
      </c>
      <c r="S218" s="100">
        <f t="shared" si="56"/>
        <v>0</v>
      </c>
      <c r="T218" s="100">
        <f t="shared" si="56"/>
        <v>0</v>
      </c>
      <c r="U218" s="181">
        <f t="shared" si="57"/>
        <v>0</v>
      </c>
    </row>
    <row r="219" spans="1:21" x14ac:dyDescent="0.2">
      <c r="B219" s="262"/>
      <c r="C219" s="262"/>
      <c r="D219" s="262"/>
      <c r="E219" s="262"/>
      <c r="F219" s="263"/>
      <c r="G219" s="262">
        <v>8810</v>
      </c>
      <c r="H219" s="116"/>
      <c r="I219" s="100">
        <f t="shared" si="56"/>
        <v>0</v>
      </c>
      <c r="J219" s="100">
        <f t="shared" si="56"/>
        <v>0</v>
      </c>
      <c r="K219" s="100">
        <f t="shared" si="56"/>
        <v>0</v>
      </c>
      <c r="L219" s="100">
        <f t="shared" si="56"/>
        <v>0</v>
      </c>
      <c r="M219" s="100">
        <f t="shared" si="56"/>
        <v>0</v>
      </c>
      <c r="N219" s="100">
        <f t="shared" si="56"/>
        <v>0</v>
      </c>
      <c r="O219" s="100">
        <f t="shared" si="56"/>
        <v>0</v>
      </c>
      <c r="P219" s="100">
        <f t="shared" si="56"/>
        <v>0</v>
      </c>
      <c r="Q219" s="100">
        <f t="shared" si="56"/>
        <v>0</v>
      </c>
      <c r="R219" s="100">
        <f t="shared" si="56"/>
        <v>0</v>
      </c>
      <c r="S219" s="100">
        <f t="shared" si="56"/>
        <v>0</v>
      </c>
      <c r="T219" s="100">
        <f t="shared" si="56"/>
        <v>0</v>
      </c>
      <c r="U219" s="181">
        <f t="shared" si="57"/>
        <v>0</v>
      </c>
    </row>
    <row r="220" spans="1:21" x14ac:dyDescent="0.2">
      <c r="B220" s="262"/>
      <c r="C220" s="262"/>
      <c r="D220" s="262"/>
      <c r="E220" s="262"/>
      <c r="F220" s="263"/>
      <c r="G220" s="262">
        <v>8810</v>
      </c>
      <c r="H220" s="116"/>
      <c r="I220" s="100">
        <f t="shared" si="56"/>
        <v>0</v>
      </c>
      <c r="J220" s="100">
        <f t="shared" si="56"/>
        <v>0</v>
      </c>
      <c r="K220" s="100">
        <f t="shared" si="56"/>
        <v>0</v>
      </c>
      <c r="L220" s="100">
        <f t="shared" si="56"/>
        <v>0</v>
      </c>
      <c r="M220" s="100">
        <f t="shared" si="56"/>
        <v>0</v>
      </c>
      <c r="N220" s="100">
        <f t="shared" si="56"/>
        <v>0</v>
      </c>
      <c r="O220" s="100">
        <f t="shared" si="56"/>
        <v>0</v>
      </c>
      <c r="P220" s="100">
        <f t="shared" si="56"/>
        <v>0</v>
      </c>
      <c r="Q220" s="100">
        <f t="shared" si="56"/>
        <v>0</v>
      </c>
      <c r="R220" s="100">
        <f t="shared" si="56"/>
        <v>0</v>
      </c>
      <c r="S220" s="100">
        <f t="shared" si="56"/>
        <v>0</v>
      </c>
      <c r="T220" s="100">
        <f t="shared" si="56"/>
        <v>0</v>
      </c>
      <c r="U220" s="181">
        <f t="shared" si="57"/>
        <v>0</v>
      </c>
    </row>
    <row r="221" spans="1:21" x14ac:dyDescent="0.2">
      <c r="B221" s="262"/>
      <c r="C221" s="262"/>
      <c r="D221" s="262"/>
      <c r="E221" s="262"/>
      <c r="F221" s="263"/>
      <c r="G221" s="262">
        <v>8810</v>
      </c>
      <c r="H221" s="116"/>
      <c r="I221" s="100">
        <f t="shared" si="56"/>
        <v>0</v>
      </c>
      <c r="J221" s="100">
        <f t="shared" si="56"/>
        <v>0</v>
      </c>
      <c r="K221" s="100">
        <f t="shared" si="56"/>
        <v>0</v>
      </c>
      <c r="L221" s="100">
        <f t="shared" si="56"/>
        <v>0</v>
      </c>
      <c r="M221" s="100">
        <f t="shared" si="56"/>
        <v>0</v>
      </c>
      <c r="N221" s="100">
        <f t="shared" si="56"/>
        <v>0</v>
      </c>
      <c r="O221" s="100">
        <f t="shared" si="56"/>
        <v>0</v>
      </c>
      <c r="P221" s="100">
        <f t="shared" si="56"/>
        <v>0</v>
      </c>
      <c r="Q221" s="100">
        <f t="shared" si="56"/>
        <v>0</v>
      </c>
      <c r="R221" s="100">
        <f t="shared" si="56"/>
        <v>0</v>
      </c>
      <c r="S221" s="100">
        <f t="shared" si="56"/>
        <v>0</v>
      </c>
      <c r="T221" s="100">
        <f t="shared" si="56"/>
        <v>0</v>
      </c>
      <c r="U221" s="181">
        <f t="shared" si="57"/>
        <v>0</v>
      </c>
    </row>
    <row r="222" spans="1:21" x14ac:dyDescent="0.2">
      <c r="B222" s="262"/>
      <c r="C222" s="262"/>
      <c r="D222" s="262"/>
      <c r="E222" s="262"/>
      <c r="F222" s="263"/>
      <c r="G222" s="262">
        <v>8810</v>
      </c>
      <c r="H222" s="116"/>
      <c r="I222" s="100">
        <f t="shared" si="56"/>
        <v>0</v>
      </c>
      <c r="J222" s="100">
        <f t="shared" si="56"/>
        <v>0</v>
      </c>
      <c r="K222" s="100">
        <f t="shared" si="56"/>
        <v>0</v>
      </c>
      <c r="L222" s="100">
        <f t="shared" si="56"/>
        <v>0</v>
      </c>
      <c r="M222" s="100">
        <f t="shared" si="56"/>
        <v>0</v>
      </c>
      <c r="N222" s="100">
        <f t="shared" si="56"/>
        <v>0</v>
      </c>
      <c r="O222" s="100">
        <f t="shared" si="56"/>
        <v>0</v>
      </c>
      <c r="P222" s="100">
        <f t="shared" si="56"/>
        <v>0</v>
      </c>
      <c r="Q222" s="100">
        <f t="shared" si="56"/>
        <v>0</v>
      </c>
      <c r="R222" s="100">
        <f t="shared" si="56"/>
        <v>0</v>
      </c>
      <c r="S222" s="100">
        <f t="shared" si="56"/>
        <v>0</v>
      </c>
      <c r="T222" s="100">
        <f t="shared" si="56"/>
        <v>0</v>
      </c>
      <c r="U222" s="181">
        <f t="shared" si="57"/>
        <v>0</v>
      </c>
    </row>
    <row r="223" spans="1:21" x14ac:dyDescent="0.2">
      <c r="B223" s="262" t="s">
        <v>410</v>
      </c>
      <c r="C223" s="262">
        <v>1</v>
      </c>
      <c r="D223" s="262"/>
      <c r="E223" s="262"/>
      <c r="F223" s="263"/>
      <c r="G223" s="262">
        <v>8291</v>
      </c>
      <c r="H223" s="116">
        <v>125000</v>
      </c>
      <c r="I223" s="100">
        <f t="shared" si="56"/>
        <v>10416.666666666666</v>
      </c>
      <c r="J223" s="100">
        <f t="shared" si="56"/>
        <v>10416.666666666666</v>
      </c>
      <c r="K223" s="100">
        <f t="shared" si="56"/>
        <v>10416.666666666666</v>
      </c>
      <c r="L223" s="100">
        <f t="shared" si="56"/>
        <v>10416.666666666666</v>
      </c>
      <c r="M223" s="100">
        <f t="shared" si="56"/>
        <v>10416.666666666666</v>
      </c>
      <c r="N223" s="100">
        <f t="shared" si="56"/>
        <v>10416.666666666666</v>
      </c>
      <c r="O223" s="100">
        <f t="shared" si="56"/>
        <v>10416.666666666666</v>
      </c>
      <c r="P223" s="100">
        <f t="shared" si="56"/>
        <v>10416.666666666666</v>
      </c>
      <c r="Q223" s="100">
        <f t="shared" si="56"/>
        <v>10416.666666666666</v>
      </c>
      <c r="R223" s="100">
        <f t="shared" si="56"/>
        <v>10416.666666666666</v>
      </c>
      <c r="S223" s="100">
        <f t="shared" si="56"/>
        <v>10416.666666666666</v>
      </c>
      <c r="T223" s="100">
        <f t="shared" si="56"/>
        <v>10416.666666666666</v>
      </c>
      <c r="U223" s="181">
        <f t="shared" si="57"/>
        <v>125000.00000000001</v>
      </c>
    </row>
    <row r="224" spans="1:21" x14ac:dyDescent="0.2">
      <c r="B224" s="262"/>
      <c r="C224" s="262"/>
      <c r="D224" s="262"/>
      <c r="E224" s="262"/>
      <c r="F224" s="263"/>
      <c r="G224" s="262">
        <v>8291</v>
      </c>
      <c r="H224" s="116"/>
      <c r="I224" s="100">
        <f t="shared" si="56"/>
        <v>0</v>
      </c>
      <c r="J224" s="100">
        <f t="shared" si="56"/>
        <v>0</v>
      </c>
      <c r="K224" s="100">
        <f t="shared" si="56"/>
        <v>0</v>
      </c>
      <c r="L224" s="100">
        <f t="shared" si="56"/>
        <v>0</v>
      </c>
      <c r="M224" s="100">
        <f t="shared" si="56"/>
        <v>0</v>
      </c>
      <c r="N224" s="100">
        <f t="shared" si="56"/>
        <v>0</v>
      </c>
      <c r="O224" s="100">
        <f t="shared" si="56"/>
        <v>0</v>
      </c>
      <c r="P224" s="100">
        <f t="shared" si="56"/>
        <v>0</v>
      </c>
      <c r="Q224" s="100">
        <f t="shared" si="56"/>
        <v>0</v>
      </c>
      <c r="R224" s="100">
        <f t="shared" si="56"/>
        <v>0</v>
      </c>
      <c r="S224" s="100">
        <f t="shared" si="56"/>
        <v>0</v>
      </c>
      <c r="T224" s="100">
        <f t="shared" si="56"/>
        <v>0</v>
      </c>
      <c r="U224" s="181">
        <f t="shared" si="57"/>
        <v>0</v>
      </c>
    </row>
    <row r="225" spans="1:21" x14ac:dyDescent="0.2">
      <c r="B225" s="262"/>
      <c r="C225" s="262"/>
      <c r="D225" s="262"/>
      <c r="E225" s="262"/>
      <c r="F225" s="263"/>
      <c r="G225" s="262"/>
      <c r="H225" s="116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83"/>
    </row>
    <row r="226" spans="1:21" x14ac:dyDescent="0.2">
      <c r="B226" s="264"/>
      <c r="C226" s="264">
        <f>SUBTOTAL(3,C214:C225)</f>
        <v>2</v>
      </c>
      <c r="D226" s="234"/>
      <c r="E226" s="234"/>
      <c r="F226" s="234" t="s">
        <v>27</v>
      </c>
      <c r="G226" s="234"/>
      <c r="H226" s="115"/>
      <c r="I226" s="264">
        <f>COUNTIF(I213:I225,"&gt;0")</f>
        <v>2</v>
      </c>
      <c r="J226" s="264">
        <f t="shared" ref="J226:U226" si="58">COUNTIF(J213:J225,"&gt;0")</f>
        <v>2</v>
      </c>
      <c r="K226" s="264">
        <f t="shared" si="58"/>
        <v>2</v>
      </c>
      <c r="L226" s="264">
        <f t="shared" si="58"/>
        <v>2</v>
      </c>
      <c r="M226" s="264">
        <f t="shared" si="58"/>
        <v>2</v>
      </c>
      <c r="N226" s="264">
        <f t="shared" si="58"/>
        <v>2</v>
      </c>
      <c r="O226" s="264">
        <f t="shared" si="58"/>
        <v>2</v>
      </c>
      <c r="P226" s="264">
        <f t="shared" si="58"/>
        <v>2</v>
      </c>
      <c r="Q226" s="264">
        <f t="shared" si="58"/>
        <v>2</v>
      </c>
      <c r="R226" s="264">
        <f t="shared" si="58"/>
        <v>2</v>
      </c>
      <c r="S226" s="264">
        <f t="shared" si="58"/>
        <v>2</v>
      </c>
      <c r="T226" s="264">
        <f t="shared" si="58"/>
        <v>2</v>
      </c>
      <c r="U226" s="278">
        <f t="shared" si="58"/>
        <v>2</v>
      </c>
    </row>
    <row r="227" spans="1:21" x14ac:dyDescent="0.2">
      <c r="B227" s="230" t="s">
        <v>136</v>
      </c>
      <c r="C227" s="230"/>
      <c r="D227" s="230"/>
      <c r="E227" s="230"/>
      <c r="F227" s="230"/>
      <c r="G227" s="230"/>
      <c r="H227" s="101"/>
      <c r="I227" s="104">
        <f>SUM(I214:I225)</f>
        <v>20833.333333333332</v>
      </c>
      <c r="J227" s="104">
        <f t="shared" ref="J227:U227" si="59">SUM(J214:J225)</f>
        <v>20833.333333333332</v>
      </c>
      <c r="K227" s="104">
        <f t="shared" si="59"/>
        <v>20833.333333333332</v>
      </c>
      <c r="L227" s="104">
        <f t="shared" si="59"/>
        <v>20833.333333333332</v>
      </c>
      <c r="M227" s="104">
        <f t="shared" si="59"/>
        <v>20833.333333333332</v>
      </c>
      <c r="N227" s="104">
        <f t="shared" si="59"/>
        <v>20833.333333333332</v>
      </c>
      <c r="O227" s="104">
        <f t="shared" si="59"/>
        <v>20833.333333333332</v>
      </c>
      <c r="P227" s="104">
        <f t="shared" si="59"/>
        <v>20833.333333333332</v>
      </c>
      <c r="Q227" s="104">
        <f t="shared" si="59"/>
        <v>20833.333333333332</v>
      </c>
      <c r="R227" s="104">
        <f t="shared" si="59"/>
        <v>20833.333333333332</v>
      </c>
      <c r="S227" s="104">
        <f t="shared" si="59"/>
        <v>20833.333333333332</v>
      </c>
      <c r="T227" s="104">
        <f t="shared" si="59"/>
        <v>20833.333333333332</v>
      </c>
      <c r="U227" s="184">
        <f t="shared" si="59"/>
        <v>250000.00000000003</v>
      </c>
    </row>
    <row r="228" spans="1:21" x14ac:dyDescent="0.2">
      <c r="B228" s="254"/>
      <c r="C228" s="254"/>
      <c r="D228" s="254"/>
      <c r="E228" s="254"/>
      <c r="F228" s="254"/>
      <c r="G228" s="254"/>
      <c r="U228" s="181"/>
    </row>
    <row r="229" spans="1:21" x14ac:dyDescent="0.2">
      <c r="B229" s="254" t="s">
        <v>137</v>
      </c>
      <c r="C229" s="299" t="s">
        <v>34</v>
      </c>
      <c r="D229" s="299"/>
      <c r="E229" s="299" t="s">
        <v>35</v>
      </c>
      <c r="F229" s="299"/>
      <c r="G229" s="256"/>
      <c r="U229" s="181"/>
    </row>
    <row r="230" spans="1:21" x14ac:dyDescent="0.2">
      <c r="B230" s="257" t="s">
        <v>36</v>
      </c>
      <c r="C230" s="258" t="s">
        <v>43</v>
      </c>
      <c r="D230" s="259" t="s">
        <v>44</v>
      </c>
      <c r="E230" s="257" t="s">
        <v>40</v>
      </c>
      <c r="F230" s="260" t="s">
        <v>41</v>
      </c>
      <c r="G230" s="261" t="s">
        <v>179</v>
      </c>
      <c r="H230" s="102" t="s">
        <v>42</v>
      </c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82"/>
    </row>
    <row r="231" spans="1:21" x14ac:dyDescent="0.2">
      <c r="A231" s="231" t="s">
        <v>496</v>
      </c>
      <c r="B231" s="262" t="s">
        <v>398</v>
      </c>
      <c r="C231" s="262">
        <v>6</v>
      </c>
      <c r="D231" s="262"/>
      <c r="E231" s="262"/>
      <c r="F231" s="263"/>
      <c r="G231" s="262">
        <v>8291</v>
      </c>
      <c r="H231" s="116">
        <v>50000</v>
      </c>
      <c r="I231" s="100">
        <f t="shared" ref="I231:T238" si="60">IF(I$157&gt;=$C231,$H231/12,0)</f>
        <v>0</v>
      </c>
      <c r="J231" s="100">
        <f t="shared" si="60"/>
        <v>0</v>
      </c>
      <c r="K231" s="100">
        <f t="shared" si="60"/>
        <v>0</v>
      </c>
      <c r="L231" s="100">
        <f t="shared" si="60"/>
        <v>0</v>
      </c>
      <c r="M231" s="100">
        <f t="shared" si="60"/>
        <v>0</v>
      </c>
      <c r="N231" s="100">
        <f t="shared" si="60"/>
        <v>4166.666666666667</v>
      </c>
      <c r="O231" s="100">
        <f t="shared" si="60"/>
        <v>4166.666666666667</v>
      </c>
      <c r="P231" s="100">
        <f t="shared" si="60"/>
        <v>4166.666666666667</v>
      </c>
      <c r="Q231" s="100">
        <f t="shared" si="60"/>
        <v>4166.666666666667</v>
      </c>
      <c r="R231" s="100">
        <f t="shared" si="60"/>
        <v>4166.666666666667</v>
      </c>
      <c r="S231" s="100">
        <f t="shared" si="60"/>
        <v>4166.666666666667</v>
      </c>
      <c r="T231" s="100">
        <f t="shared" si="60"/>
        <v>4166.666666666667</v>
      </c>
      <c r="U231" s="181">
        <f t="shared" ref="U231:U238" si="61">SUM(I231:T231)</f>
        <v>29166.666666666672</v>
      </c>
    </row>
    <row r="232" spans="1:21" x14ac:dyDescent="0.2">
      <c r="A232" s="231" t="s">
        <v>496</v>
      </c>
      <c r="B232" s="262" t="s">
        <v>399</v>
      </c>
      <c r="C232" s="262"/>
      <c r="D232" s="262"/>
      <c r="E232" s="262"/>
      <c r="F232" s="263"/>
      <c r="G232" s="262">
        <v>8291</v>
      </c>
      <c r="H232" s="116"/>
      <c r="I232" s="100">
        <f t="shared" si="60"/>
        <v>0</v>
      </c>
      <c r="J232" s="100">
        <f t="shared" si="60"/>
        <v>0</v>
      </c>
      <c r="K232" s="100">
        <f t="shared" si="60"/>
        <v>0</v>
      </c>
      <c r="L232" s="100">
        <f t="shared" si="60"/>
        <v>0</v>
      </c>
      <c r="M232" s="100">
        <f t="shared" si="60"/>
        <v>0</v>
      </c>
      <c r="N232" s="100">
        <f t="shared" si="60"/>
        <v>0</v>
      </c>
      <c r="O232" s="100">
        <f t="shared" si="60"/>
        <v>0</v>
      </c>
      <c r="P232" s="100">
        <f t="shared" si="60"/>
        <v>0</v>
      </c>
      <c r="Q232" s="100">
        <f t="shared" si="60"/>
        <v>0</v>
      </c>
      <c r="R232" s="100">
        <f t="shared" si="60"/>
        <v>0</v>
      </c>
      <c r="S232" s="100">
        <f t="shared" si="60"/>
        <v>0</v>
      </c>
      <c r="T232" s="100">
        <f t="shared" si="60"/>
        <v>0</v>
      </c>
      <c r="U232" s="181">
        <f t="shared" si="61"/>
        <v>0</v>
      </c>
    </row>
    <row r="233" spans="1:21" x14ac:dyDescent="0.2">
      <c r="B233" s="262"/>
      <c r="C233" s="262"/>
      <c r="D233" s="262"/>
      <c r="E233" s="262"/>
      <c r="F233" s="263"/>
      <c r="G233" s="262">
        <v>8291</v>
      </c>
      <c r="H233" s="116"/>
      <c r="I233" s="100">
        <f t="shared" si="60"/>
        <v>0</v>
      </c>
      <c r="J233" s="100">
        <f t="shared" si="60"/>
        <v>0</v>
      </c>
      <c r="K233" s="100">
        <f t="shared" si="60"/>
        <v>0</v>
      </c>
      <c r="L233" s="100">
        <f t="shared" si="60"/>
        <v>0</v>
      </c>
      <c r="M233" s="100">
        <f t="shared" si="60"/>
        <v>0</v>
      </c>
      <c r="N233" s="100">
        <f t="shared" si="60"/>
        <v>0</v>
      </c>
      <c r="O233" s="100">
        <f t="shared" si="60"/>
        <v>0</v>
      </c>
      <c r="P233" s="100">
        <f t="shared" si="60"/>
        <v>0</v>
      </c>
      <c r="Q233" s="100">
        <f t="shared" si="60"/>
        <v>0</v>
      </c>
      <c r="R233" s="100">
        <f t="shared" si="60"/>
        <v>0</v>
      </c>
      <c r="S233" s="100">
        <f t="shared" si="60"/>
        <v>0</v>
      </c>
      <c r="T233" s="100">
        <f t="shared" si="60"/>
        <v>0</v>
      </c>
      <c r="U233" s="181">
        <f t="shared" si="61"/>
        <v>0</v>
      </c>
    </row>
    <row r="234" spans="1:21" x14ac:dyDescent="0.2">
      <c r="B234" s="262"/>
      <c r="C234" s="262"/>
      <c r="D234" s="262"/>
      <c r="E234" s="262"/>
      <c r="F234" s="263"/>
      <c r="G234" s="262">
        <v>8291</v>
      </c>
      <c r="H234" s="116"/>
      <c r="I234" s="100">
        <f t="shared" si="60"/>
        <v>0</v>
      </c>
      <c r="J234" s="100">
        <f t="shared" si="60"/>
        <v>0</v>
      </c>
      <c r="K234" s="100">
        <f t="shared" si="60"/>
        <v>0</v>
      </c>
      <c r="L234" s="100">
        <f t="shared" si="60"/>
        <v>0</v>
      </c>
      <c r="M234" s="100">
        <f t="shared" si="60"/>
        <v>0</v>
      </c>
      <c r="N234" s="100">
        <f t="shared" si="60"/>
        <v>0</v>
      </c>
      <c r="O234" s="100">
        <f t="shared" si="60"/>
        <v>0</v>
      </c>
      <c r="P234" s="100">
        <f t="shared" si="60"/>
        <v>0</v>
      </c>
      <c r="Q234" s="100">
        <f t="shared" si="60"/>
        <v>0</v>
      </c>
      <c r="R234" s="100">
        <f t="shared" si="60"/>
        <v>0</v>
      </c>
      <c r="S234" s="100">
        <f t="shared" si="60"/>
        <v>0</v>
      </c>
      <c r="T234" s="100">
        <f t="shared" si="60"/>
        <v>0</v>
      </c>
      <c r="U234" s="181">
        <f t="shared" si="61"/>
        <v>0</v>
      </c>
    </row>
    <row r="235" spans="1:21" x14ac:dyDescent="0.2">
      <c r="B235" s="262"/>
      <c r="C235" s="262"/>
      <c r="D235" s="262"/>
      <c r="E235" s="262"/>
      <c r="F235" s="263"/>
      <c r="G235" s="262">
        <v>8291</v>
      </c>
      <c r="H235" s="116"/>
      <c r="I235" s="100">
        <f t="shared" si="60"/>
        <v>0</v>
      </c>
      <c r="J235" s="100">
        <f t="shared" si="60"/>
        <v>0</v>
      </c>
      <c r="K235" s="100">
        <f t="shared" si="60"/>
        <v>0</v>
      </c>
      <c r="L235" s="100">
        <f t="shared" si="60"/>
        <v>0</v>
      </c>
      <c r="M235" s="100">
        <f t="shared" si="60"/>
        <v>0</v>
      </c>
      <c r="N235" s="100">
        <f t="shared" si="60"/>
        <v>0</v>
      </c>
      <c r="O235" s="100">
        <f t="shared" si="60"/>
        <v>0</v>
      </c>
      <c r="P235" s="100">
        <f t="shared" si="60"/>
        <v>0</v>
      </c>
      <c r="Q235" s="100">
        <f t="shared" si="60"/>
        <v>0</v>
      </c>
      <c r="R235" s="100">
        <f t="shared" si="60"/>
        <v>0</v>
      </c>
      <c r="S235" s="100">
        <f t="shared" si="60"/>
        <v>0</v>
      </c>
      <c r="T235" s="100">
        <f t="shared" si="60"/>
        <v>0</v>
      </c>
      <c r="U235" s="181">
        <f t="shared" si="61"/>
        <v>0</v>
      </c>
    </row>
    <row r="236" spans="1:21" x14ac:dyDescent="0.2">
      <c r="B236" s="262"/>
      <c r="C236" s="262"/>
      <c r="D236" s="262"/>
      <c r="E236" s="262"/>
      <c r="F236" s="263"/>
      <c r="G236" s="262">
        <v>8291</v>
      </c>
      <c r="H236" s="116"/>
      <c r="I236" s="100">
        <f t="shared" si="60"/>
        <v>0</v>
      </c>
      <c r="J236" s="100">
        <f t="shared" si="60"/>
        <v>0</v>
      </c>
      <c r="K236" s="100">
        <f t="shared" si="60"/>
        <v>0</v>
      </c>
      <c r="L236" s="100">
        <f t="shared" si="60"/>
        <v>0</v>
      </c>
      <c r="M236" s="100">
        <f t="shared" si="60"/>
        <v>0</v>
      </c>
      <c r="N236" s="100">
        <f t="shared" si="60"/>
        <v>0</v>
      </c>
      <c r="O236" s="100">
        <f t="shared" si="60"/>
        <v>0</v>
      </c>
      <c r="P236" s="100">
        <f t="shared" si="60"/>
        <v>0</v>
      </c>
      <c r="Q236" s="100">
        <f t="shared" si="60"/>
        <v>0</v>
      </c>
      <c r="R236" s="100">
        <f t="shared" si="60"/>
        <v>0</v>
      </c>
      <c r="S236" s="100">
        <f t="shared" si="60"/>
        <v>0</v>
      </c>
      <c r="T236" s="100">
        <f t="shared" si="60"/>
        <v>0</v>
      </c>
      <c r="U236" s="181">
        <f t="shared" si="61"/>
        <v>0</v>
      </c>
    </row>
    <row r="237" spans="1:21" x14ac:dyDescent="0.2">
      <c r="B237" s="262"/>
      <c r="C237" s="262"/>
      <c r="D237" s="262"/>
      <c r="E237" s="262"/>
      <c r="F237" s="263"/>
      <c r="G237" s="262">
        <v>8291</v>
      </c>
      <c r="H237" s="116"/>
      <c r="I237" s="100">
        <f t="shared" si="60"/>
        <v>0</v>
      </c>
      <c r="J237" s="100">
        <f t="shared" si="60"/>
        <v>0</v>
      </c>
      <c r="K237" s="100">
        <f t="shared" si="60"/>
        <v>0</v>
      </c>
      <c r="L237" s="100">
        <f t="shared" si="60"/>
        <v>0</v>
      </c>
      <c r="M237" s="100">
        <f t="shared" si="60"/>
        <v>0</v>
      </c>
      <c r="N237" s="100">
        <f t="shared" si="60"/>
        <v>0</v>
      </c>
      <c r="O237" s="100">
        <f t="shared" si="60"/>
        <v>0</v>
      </c>
      <c r="P237" s="100">
        <f t="shared" si="60"/>
        <v>0</v>
      </c>
      <c r="Q237" s="100">
        <f t="shared" si="60"/>
        <v>0</v>
      </c>
      <c r="R237" s="100">
        <f t="shared" si="60"/>
        <v>0</v>
      </c>
      <c r="S237" s="100">
        <f t="shared" si="60"/>
        <v>0</v>
      </c>
      <c r="T237" s="100">
        <f t="shared" si="60"/>
        <v>0</v>
      </c>
      <c r="U237" s="181">
        <f t="shared" si="61"/>
        <v>0</v>
      </c>
    </row>
    <row r="238" spans="1:21" x14ac:dyDescent="0.2">
      <c r="B238" s="262"/>
      <c r="C238" s="262"/>
      <c r="D238" s="262"/>
      <c r="E238" s="262"/>
      <c r="F238" s="263"/>
      <c r="G238" s="262">
        <v>8291</v>
      </c>
      <c r="H238" s="116"/>
      <c r="I238" s="100">
        <f t="shared" si="60"/>
        <v>0</v>
      </c>
      <c r="J238" s="100">
        <f t="shared" si="60"/>
        <v>0</v>
      </c>
      <c r="K238" s="100">
        <f t="shared" si="60"/>
        <v>0</v>
      </c>
      <c r="L238" s="100">
        <f t="shared" si="60"/>
        <v>0</v>
      </c>
      <c r="M238" s="100">
        <f t="shared" si="60"/>
        <v>0</v>
      </c>
      <c r="N238" s="100">
        <f t="shared" si="60"/>
        <v>0</v>
      </c>
      <c r="O238" s="100">
        <f t="shared" si="60"/>
        <v>0</v>
      </c>
      <c r="P238" s="100">
        <f t="shared" si="60"/>
        <v>0</v>
      </c>
      <c r="Q238" s="100">
        <f t="shared" si="60"/>
        <v>0</v>
      </c>
      <c r="R238" s="100">
        <f t="shared" si="60"/>
        <v>0</v>
      </c>
      <c r="S238" s="100">
        <f t="shared" si="60"/>
        <v>0</v>
      </c>
      <c r="T238" s="100">
        <f t="shared" si="60"/>
        <v>0</v>
      </c>
      <c r="U238" s="181">
        <f t="shared" si="61"/>
        <v>0</v>
      </c>
    </row>
    <row r="239" spans="1:21" x14ac:dyDescent="0.2">
      <c r="B239" s="262"/>
      <c r="C239" s="262"/>
      <c r="D239" s="262"/>
      <c r="E239" s="262"/>
      <c r="F239" s="263"/>
      <c r="G239" s="262"/>
      <c r="H239" s="116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83"/>
    </row>
    <row r="240" spans="1:21" x14ac:dyDescent="0.2">
      <c r="B240" s="264"/>
      <c r="C240" s="264">
        <f>SUBTOTAL(3,C231:C239)</f>
        <v>1</v>
      </c>
      <c r="D240" s="234"/>
      <c r="E240" s="234"/>
      <c r="F240" s="234"/>
      <c r="G240" s="234"/>
      <c r="H240" s="117"/>
      <c r="I240" s="264">
        <f>COUNTIF(I230:I239,"&gt;0")</f>
        <v>0</v>
      </c>
      <c r="J240" s="264">
        <f t="shared" ref="J240:U240" si="62">COUNTIF(J230:J239,"&gt;0")</f>
        <v>0</v>
      </c>
      <c r="K240" s="264">
        <f t="shared" si="62"/>
        <v>0</v>
      </c>
      <c r="L240" s="264">
        <f t="shared" si="62"/>
        <v>0</v>
      </c>
      <c r="M240" s="264">
        <f t="shared" si="62"/>
        <v>0</v>
      </c>
      <c r="N240" s="264">
        <f t="shared" si="62"/>
        <v>1</v>
      </c>
      <c r="O240" s="264">
        <f t="shared" si="62"/>
        <v>1</v>
      </c>
      <c r="P240" s="264">
        <f t="shared" si="62"/>
        <v>1</v>
      </c>
      <c r="Q240" s="264">
        <f t="shared" si="62"/>
        <v>1</v>
      </c>
      <c r="R240" s="264">
        <f t="shared" si="62"/>
        <v>1</v>
      </c>
      <c r="S240" s="264">
        <f t="shared" si="62"/>
        <v>1</v>
      </c>
      <c r="T240" s="264">
        <f t="shared" si="62"/>
        <v>1</v>
      </c>
      <c r="U240" s="278">
        <f t="shared" si="62"/>
        <v>1</v>
      </c>
    </row>
    <row r="241" spans="2:21" x14ac:dyDescent="0.2">
      <c r="B241" s="266" t="s">
        <v>138</v>
      </c>
      <c r="C241" s="265"/>
      <c r="D241" s="265"/>
      <c r="E241" s="265"/>
      <c r="F241" s="265"/>
      <c r="G241" s="267"/>
      <c r="H241" s="106"/>
      <c r="I241" s="105">
        <f t="shared" ref="I241:U241" si="63">SUM(I231:I239)</f>
        <v>0</v>
      </c>
      <c r="J241" s="105">
        <f t="shared" si="63"/>
        <v>0</v>
      </c>
      <c r="K241" s="105">
        <f t="shared" si="63"/>
        <v>0</v>
      </c>
      <c r="L241" s="105">
        <f t="shared" si="63"/>
        <v>0</v>
      </c>
      <c r="M241" s="105">
        <f t="shared" si="63"/>
        <v>0</v>
      </c>
      <c r="N241" s="105">
        <f t="shared" si="63"/>
        <v>4166.666666666667</v>
      </c>
      <c r="O241" s="105">
        <f t="shared" si="63"/>
        <v>4166.666666666667</v>
      </c>
      <c r="P241" s="105">
        <f t="shared" si="63"/>
        <v>4166.666666666667</v>
      </c>
      <c r="Q241" s="105">
        <f t="shared" si="63"/>
        <v>4166.666666666667</v>
      </c>
      <c r="R241" s="105">
        <f t="shared" si="63"/>
        <v>4166.666666666667</v>
      </c>
      <c r="S241" s="105">
        <f t="shared" si="63"/>
        <v>4166.666666666667</v>
      </c>
      <c r="T241" s="105">
        <f t="shared" si="63"/>
        <v>4166.666666666667</v>
      </c>
      <c r="U241" s="185">
        <f t="shared" si="63"/>
        <v>29166.666666666672</v>
      </c>
    </row>
    <row r="242" spans="2:21" x14ac:dyDescent="0.2">
      <c r="B242" s="264"/>
      <c r="C242" s="264">
        <f>C177+C185+C193+C209+C226+C240</f>
        <v>5</v>
      </c>
      <c r="D242" s="254"/>
      <c r="E242" s="254"/>
      <c r="F242" s="254"/>
      <c r="G242" s="254"/>
      <c r="I242" s="264">
        <f t="shared" ref="I242:U243" si="64">I177+I185+I193+I209+I226+I240</f>
        <v>4</v>
      </c>
      <c r="J242" s="264">
        <f t="shared" si="64"/>
        <v>4</v>
      </c>
      <c r="K242" s="264">
        <f t="shared" si="64"/>
        <v>4</v>
      </c>
      <c r="L242" s="264">
        <f t="shared" si="64"/>
        <v>4</v>
      </c>
      <c r="M242" s="264">
        <f t="shared" si="64"/>
        <v>4</v>
      </c>
      <c r="N242" s="264">
        <f t="shared" si="64"/>
        <v>5</v>
      </c>
      <c r="O242" s="264">
        <f t="shared" si="64"/>
        <v>5</v>
      </c>
      <c r="P242" s="264">
        <f t="shared" si="64"/>
        <v>5</v>
      </c>
      <c r="Q242" s="264">
        <f t="shared" si="64"/>
        <v>5</v>
      </c>
      <c r="R242" s="264">
        <f t="shared" si="64"/>
        <v>5</v>
      </c>
      <c r="S242" s="264">
        <f t="shared" si="64"/>
        <v>5</v>
      </c>
      <c r="T242" s="264">
        <f t="shared" si="64"/>
        <v>5</v>
      </c>
      <c r="U242" s="278">
        <f t="shared" si="64"/>
        <v>5</v>
      </c>
    </row>
    <row r="243" spans="2:21" x14ac:dyDescent="0.2">
      <c r="B243" s="268" t="s">
        <v>528</v>
      </c>
      <c r="C243" s="230"/>
      <c r="D243" s="230"/>
      <c r="E243" s="230"/>
      <c r="F243" s="230"/>
      <c r="G243" s="230"/>
      <c r="H243" s="115"/>
      <c r="I243" s="105">
        <f>I178+I186+I194+I210+I227+I241</f>
        <v>47916.666666666672</v>
      </c>
      <c r="J243" s="105">
        <f t="shared" si="64"/>
        <v>47916.666666666672</v>
      </c>
      <c r="K243" s="105">
        <f t="shared" si="64"/>
        <v>47916.666666666672</v>
      </c>
      <c r="L243" s="105">
        <f t="shared" si="64"/>
        <v>47916.666666666672</v>
      </c>
      <c r="M243" s="105">
        <f t="shared" si="64"/>
        <v>47916.666666666672</v>
      </c>
      <c r="N243" s="105">
        <f t="shared" si="64"/>
        <v>52083.333333333336</v>
      </c>
      <c r="O243" s="105">
        <f t="shared" si="64"/>
        <v>52083.333333333336</v>
      </c>
      <c r="P243" s="105">
        <f t="shared" si="64"/>
        <v>52083.333333333336</v>
      </c>
      <c r="Q243" s="105">
        <f t="shared" si="64"/>
        <v>52083.333333333336</v>
      </c>
      <c r="R243" s="105">
        <f t="shared" si="64"/>
        <v>52083.333333333336</v>
      </c>
      <c r="S243" s="105">
        <f t="shared" si="64"/>
        <v>52083.333333333336</v>
      </c>
      <c r="T243" s="105">
        <f t="shared" si="64"/>
        <v>52083.333333333336</v>
      </c>
      <c r="U243" s="185">
        <f>U178+U186+U194+U210+U227+U241</f>
        <v>604166.66666666663</v>
      </c>
    </row>
    <row r="244" spans="2:21" x14ac:dyDescent="0.2">
      <c r="U244" s="181"/>
    </row>
    <row r="245" spans="2:21" s="280" customFormat="1" x14ac:dyDescent="0.2">
      <c r="B245" s="280" t="s">
        <v>513</v>
      </c>
      <c r="H245" s="281"/>
      <c r="I245" s="155">
        <f>I161+I182+I214+I223</f>
        <v>47916.666666666664</v>
      </c>
      <c r="J245" s="155">
        <f t="shared" ref="J245:U245" si="65">J161+J182+J214+J223</f>
        <v>47916.666666666664</v>
      </c>
      <c r="K245" s="155">
        <f t="shared" si="65"/>
        <v>47916.666666666664</v>
      </c>
      <c r="L245" s="155">
        <f t="shared" si="65"/>
        <v>47916.666666666664</v>
      </c>
      <c r="M245" s="155">
        <f t="shared" si="65"/>
        <v>47916.666666666664</v>
      </c>
      <c r="N245" s="155">
        <f t="shared" si="65"/>
        <v>47916.666666666664</v>
      </c>
      <c r="O245" s="155">
        <f t="shared" si="65"/>
        <v>47916.666666666664</v>
      </c>
      <c r="P245" s="155">
        <f t="shared" si="65"/>
        <v>47916.666666666664</v>
      </c>
      <c r="Q245" s="155">
        <f t="shared" si="65"/>
        <v>47916.666666666664</v>
      </c>
      <c r="R245" s="155">
        <f t="shared" si="65"/>
        <v>47916.666666666664</v>
      </c>
      <c r="S245" s="155">
        <f t="shared" si="65"/>
        <v>47916.666666666664</v>
      </c>
      <c r="T245" s="155">
        <f t="shared" si="65"/>
        <v>47916.666666666664</v>
      </c>
      <c r="U245" s="155">
        <f t="shared" si="65"/>
        <v>575000</v>
      </c>
    </row>
    <row r="248" spans="2:21" ht="25.5" x14ac:dyDescent="0.2">
      <c r="B248" s="230" t="s">
        <v>69</v>
      </c>
      <c r="E248" s="272" t="s">
        <v>197</v>
      </c>
      <c r="F248" s="272" t="s">
        <v>125</v>
      </c>
      <c r="G248" s="272" t="s">
        <v>163</v>
      </c>
    </row>
    <row r="249" spans="2:21" x14ac:dyDescent="0.2">
      <c r="B249" s="234">
        <v>8291</v>
      </c>
      <c r="C249" s="234" t="s">
        <v>180</v>
      </c>
      <c r="E249" s="282">
        <f>'CIL Mgmt Assumptions'!B46</f>
        <v>2.98</v>
      </c>
      <c r="F249" s="100">
        <f>SUMIF($G$160:$G$244,$B249,$U$160:$U$244)</f>
        <v>279166.66666666669</v>
      </c>
      <c r="G249" s="100" t="e">
        <f>SUMIF($G$160:$G$244,$B249,#REF!)</f>
        <v>#REF!</v>
      </c>
    </row>
    <row r="250" spans="2:21" x14ac:dyDescent="0.2">
      <c r="B250" s="234">
        <v>8742</v>
      </c>
      <c r="C250" s="234" t="s">
        <v>71</v>
      </c>
      <c r="E250" s="282">
        <f>'CIL Mgmt Assumptions'!B47</f>
        <v>0.15</v>
      </c>
      <c r="F250" s="100">
        <f>SUMIF($G$160:$G$244,$B250,$U$160:$U$244)</f>
        <v>0</v>
      </c>
      <c r="G250" s="100" t="e">
        <f>SUMIF($G$160:$G$244,$B250,#REF!)</f>
        <v>#REF!</v>
      </c>
    </row>
    <row r="251" spans="2:21" x14ac:dyDescent="0.2">
      <c r="B251" s="234">
        <v>8810</v>
      </c>
      <c r="C251" s="234" t="s">
        <v>70</v>
      </c>
      <c r="E251" s="282">
        <f>'CIL Mgmt Assumptions'!B48</f>
        <v>0.11</v>
      </c>
      <c r="F251" s="100">
        <f>SUMIF($G$160:$G$244,$B251,$U$160:$U$244)</f>
        <v>325000</v>
      </c>
      <c r="G251" s="100" t="e">
        <f>SUMIF($G$160:$G$244,$B251,#REF!)</f>
        <v>#REF!</v>
      </c>
    </row>
    <row r="252" spans="2:21" x14ac:dyDescent="0.2">
      <c r="B252" s="234">
        <v>9015</v>
      </c>
      <c r="C252" s="234" t="s">
        <v>259</v>
      </c>
      <c r="E252" s="282">
        <f>'CIL Mgmt Assumptions'!B49</f>
        <v>3</v>
      </c>
      <c r="F252" s="100">
        <f>SUMIF($G$160:$G$244,$B252,$U$160:$U$244)</f>
        <v>0</v>
      </c>
      <c r="G252" s="100" t="e">
        <f>SUMIF($G$160:$G$244,$B252,#REF!)</f>
        <v>#REF!</v>
      </c>
    </row>
    <row r="253" spans="2:21" x14ac:dyDescent="0.2">
      <c r="B253" s="234"/>
      <c r="G253" s="100"/>
    </row>
    <row r="254" spans="2:21" x14ac:dyDescent="0.2">
      <c r="B254" s="234"/>
      <c r="F254" s="239">
        <f>SUM(F249:F253)</f>
        <v>604166.66666666674</v>
      </c>
      <c r="G254" s="239" t="e">
        <f>SUM(G249:G253)</f>
        <v>#REF!</v>
      </c>
    </row>
    <row r="255" spans="2:21" x14ac:dyDescent="0.2">
      <c r="B255" s="234"/>
    </row>
    <row r="256" spans="2:21" ht="21.75" customHeight="1" x14ac:dyDescent="0.3">
      <c r="B256" s="255" t="s">
        <v>177</v>
      </c>
      <c r="C256" s="254"/>
      <c r="D256" s="254"/>
      <c r="E256" s="254"/>
      <c r="F256" s="254"/>
      <c r="G256" s="254"/>
    </row>
    <row r="257" spans="1:21" outlineLevel="2" x14ac:dyDescent="0.2">
      <c r="B257" s="254" t="s">
        <v>140</v>
      </c>
      <c r="C257" s="299" t="s">
        <v>34</v>
      </c>
      <c r="D257" s="299"/>
      <c r="E257" s="299" t="s">
        <v>35</v>
      </c>
      <c r="F257" s="299"/>
      <c r="G257" s="256"/>
    </row>
    <row r="258" spans="1:21" outlineLevel="2" x14ac:dyDescent="0.2">
      <c r="B258" s="257" t="s">
        <v>37</v>
      </c>
      <c r="C258" s="258" t="s">
        <v>43</v>
      </c>
      <c r="D258" s="259" t="s">
        <v>44</v>
      </c>
      <c r="E258" s="257" t="s">
        <v>40</v>
      </c>
      <c r="F258" s="260" t="s">
        <v>41</v>
      </c>
      <c r="G258" s="261" t="s">
        <v>179</v>
      </c>
      <c r="H258" s="102" t="s">
        <v>13</v>
      </c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</row>
    <row r="259" spans="1:21" outlineLevel="2" x14ac:dyDescent="0.2">
      <c r="A259" s="231" t="s">
        <v>495</v>
      </c>
      <c r="B259" s="262" t="s">
        <v>127</v>
      </c>
      <c r="C259" s="262">
        <v>1</v>
      </c>
      <c r="D259" s="262"/>
      <c r="E259" s="262"/>
      <c r="F259" s="263"/>
      <c r="G259" s="262">
        <v>8742</v>
      </c>
      <c r="H259" s="116">
        <v>500000</v>
      </c>
      <c r="I259" s="100">
        <f t="shared" ref="I259:T267" si="66">IF(I$5&gt;=$C259,$H259/12,0)</f>
        <v>41666.666666666664</v>
      </c>
      <c r="J259" s="100">
        <f t="shared" si="66"/>
        <v>41666.666666666664</v>
      </c>
      <c r="K259" s="100">
        <f t="shared" si="66"/>
        <v>41666.666666666664</v>
      </c>
      <c r="L259" s="100">
        <f t="shared" si="66"/>
        <v>41666.666666666664</v>
      </c>
      <c r="M259" s="100">
        <f t="shared" si="66"/>
        <v>41666.666666666664</v>
      </c>
      <c r="N259" s="100">
        <f t="shared" si="66"/>
        <v>41666.666666666664</v>
      </c>
      <c r="O259" s="100">
        <f t="shared" si="66"/>
        <v>41666.666666666664</v>
      </c>
      <c r="P259" s="100">
        <f t="shared" si="66"/>
        <v>41666.666666666664</v>
      </c>
      <c r="Q259" s="100">
        <f t="shared" si="66"/>
        <v>41666.666666666664</v>
      </c>
      <c r="R259" s="100">
        <f t="shared" si="66"/>
        <v>41666.666666666664</v>
      </c>
      <c r="S259" s="100">
        <f t="shared" si="66"/>
        <v>41666.666666666664</v>
      </c>
      <c r="T259" s="100">
        <f t="shared" si="66"/>
        <v>41666.666666666664</v>
      </c>
      <c r="U259" s="100">
        <f t="shared" ref="U259:U267" si="67">SUM(I259:T259)</f>
        <v>500000.00000000006</v>
      </c>
    </row>
    <row r="260" spans="1:21" outlineLevel="2" x14ac:dyDescent="0.2">
      <c r="A260" s="231" t="s">
        <v>495</v>
      </c>
      <c r="B260" s="262" t="s">
        <v>284</v>
      </c>
      <c r="C260" s="262">
        <v>1</v>
      </c>
      <c r="D260" s="262"/>
      <c r="E260" s="262"/>
      <c r="F260" s="263"/>
      <c r="G260" s="262">
        <v>8742</v>
      </c>
      <c r="H260" s="116">
        <v>250000</v>
      </c>
      <c r="I260" s="100">
        <f t="shared" si="66"/>
        <v>20833.333333333332</v>
      </c>
      <c r="J260" s="100">
        <f t="shared" si="66"/>
        <v>20833.333333333332</v>
      </c>
      <c r="K260" s="100">
        <f t="shared" si="66"/>
        <v>20833.333333333332</v>
      </c>
      <c r="L260" s="100">
        <f t="shared" si="66"/>
        <v>20833.333333333332</v>
      </c>
      <c r="M260" s="100">
        <f t="shared" si="66"/>
        <v>20833.333333333332</v>
      </c>
      <c r="N260" s="100">
        <f t="shared" si="66"/>
        <v>20833.333333333332</v>
      </c>
      <c r="O260" s="100">
        <f t="shared" si="66"/>
        <v>20833.333333333332</v>
      </c>
      <c r="P260" s="100">
        <f t="shared" si="66"/>
        <v>20833.333333333332</v>
      </c>
      <c r="Q260" s="100">
        <f t="shared" si="66"/>
        <v>20833.333333333332</v>
      </c>
      <c r="R260" s="100">
        <f t="shared" si="66"/>
        <v>20833.333333333332</v>
      </c>
      <c r="S260" s="100">
        <f t="shared" si="66"/>
        <v>20833.333333333332</v>
      </c>
      <c r="T260" s="100">
        <f t="shared" si="66"/>
        <v>20833.333333333332</v>
      </c>
      <c r="U260" s="100">
        <f t="shared" si="67"/>
        <v>250000.00000000003</v>
      </c>
    </row>
    <row r="261" spans="1:21" outlineLevel="2" x14ac:dyDescent="0.2">
      <c r="A261" s="231" t="s">
        <v>495</v>
      </c>
      <c r="B261" s="262" t="s">
        <v>376</v>
      </c>
      <c r="C261" s="262">
        <v>6</v>
      </c>
      <c r="D261" s="262"/>
      <c r="E261" s="262"/>
      <c r="F261" s="263"/>
      <c r="G261" s="262">
        <v>8810</v>
      </c>
      <c r="H261" s="116">
        <v>100000</v>
      </c>
      <c r="I261" s="100">
        <f t="shared" si="66"/>
        <v>0</v>
      </c>
      <c r="J261" s="100">
        <f t="shared" si="66"/>
        <v>0</v>
      </c>
      <c r="K261" s="100">
        <f t="shared" si="66"/>
        <v>0</v>
      </c>
      <c r="L261" s="100">
        <f t="shared" si="66"/>
        <v>0</v>
      </c>
      <c r="M261" s="100">
        <f t="shared" si="66"/>
        <v>0</v>
      </c>
      <c r="N261" s="100">
        <f t="shared" si="66"/>
        <v>8333.3333333333339</v>
      </c>
      <c r="O261" s="100">
        <f t="shared" si="66"/>
        <v>8333.3333333333339</v>
      </c>
      <c r="P261" s="100">
        <f t="shared" si="66"/>
        <v>8333.3333333333339</v>
      </c>
      <c r="Q261" s="100">
        <f t="shared" si="66"/>
        <v>8333.3333333333339</v>
      </c>
      <c r="R261" s="100">
        <f t="shared" si="66"/>
        <v>8333.3333333333339</v>
      </c>
      <c r="S261" s="100">
        <f t="shared" si="66"/>
        <v>8333.3333333333339</v>
      </c>
      <c r="T261" s="100">
        <f t="shared" si="66"/>
        <v>8333.3333333333339</v>
      </c>
      <c r="U261" s="100">
        <f t="shared" si="67"/>
        <v>58333.333333333343</v>
      </c>
    </row>
    <row r="262" spans="1:21" outlineLevel="2" x14ac:dyDescent="0.2">
      <c r="A262" s="231" t="s">
        <v>495</v>
      </c>
      <c r="B262" s="262" t="s">
        <v>377</v>
      </c>
      <c r="C262" s="262">
        <v>6</v>
      </c>
      <c r="D262" s="262"/>
      <c r="E262" s="262"/>
      <c r="F262" s="263"/>
      <c r="G262" s="262">
        <v>8810</v>
      </c>
      <c r="H262" s="116">
        <v>100000</v>
      </c>
      <c r="I262" s="100">
        <f t="shared" si="66"/>
        <v>0</v>
      </c>
      <c r="J262" s="100">
        <f t="shared" si="66"/>
        <v>0</v>
      </c>
      <c r="K262" s="100">
        <f t="shared" si="66"/>
        <v>0</v>
      </c>
      <c r="L262" s="100">
        <f t="shared" si="66"/>
        <v>0</v>
      </c>
      <c r="M262" s="100">
        <f t="shared" si="66"/>
        <v>0</v>
      </c>
      <c r="N262" s="100">
        <f t="shared" si="66"/>
        <v>8333.3333333333339</v>
      </c>
      <c r="O262" s="100">
        <f t="shared" si="66"/>
        <v>8333.3333333333339</v>
      </c>
      <c r="P262" s="100">
        <f t="shared" si="66"/>
        <v>8333.3333333333339</v>
      </c>
      <c r="Q262" s="100">
        <f t="shared" si="66"/>
        <v>8333.3333333333339</v>
      </c>
      <c r="R262" s="100">
        <f t="shared" si="66"/>
        <v>8333.3333333333339</v>
      </c>
      <c r="S262" s="100">
        <f t="shared" si="66"/>
        <v>8333.3333333333339</v>
      </c>
      <c r="T262" s="100">
        <f t="shared" si="66"/>
        <v>8333.3333333333339</v>
      </c>
      <c r="U262" s="100">
        <f t="shared" si="67"/>
        <v>58333.333333333343</v>
      </c>
    </row>
    <row r="263" spans="1:21" outlineLevel="2" x14ac:dyDescent="0.2">
      <c r="A263" s="231" t="s">
        <v>495</v>
      </c>
      <c r="B263" s="262" t="s">
        <v>378</v>
      </c>
      <c r="C263" s="262">
        <v>6</v>
      </c>
      <c r="D263" s="262"/>
      <c r="E263" s="262"/>
      <c r="F263" s="263"/>
      <c r="G263" s="262">
        <v>8810</v>
      </c>
      <c r="H263" s="116">
        <v>100000</v>
      </c>
      <c r="I263" s="100">
        <f t="shared" si="66"/>
        <v>0</v>
      </c>
      <c r="J263" s="100">
        <f t="shared" si="66"/>
        <v>0</v>
      </c>
      <c r="K263" s="100">
        <f t="shared" si="66"/>
        <v>0</v>
      </c>
      <c r="L263" s="100">
        <f t="shared" si="66"/>
        <v>0</v>
      </c>
      <c r="M263" s="100">
        <f t="shared" si="66"/>
        <v>0</v>
      </c>
      <c r="N263" s="100">
        <f t="shared" si="66"/>
        <v>8333.3333333333339</v>
      </c>
      <c r="O263" s="100">
        <f t="shared" si="66"/>
        <v>8333.3333333333339</v>
      </c>
      <c r="P263" s="100">
        <f t="shared" si="66"/>
        <v>8333.3333333333339</v>
      </c>
      <c r="Q263" s="100">
        <f t="shared" si="66"/>
        <v>8333.3333333333339</v>
      </c>
      <c r="R263" s="100">
        <f t="shared" si="66"/>
        <v>8333.3333333333339</v>
      </c>
      <c r="S263" s="100">
        <f t="shared" si="66"/>
        <v>8333.3333333333339</v>
      </c>
      <c r="T263" s="100">
        <f t="shared" si="66"/>
        <v>8333.3333333333339</v>
      </c>
      <c r="U263" s="100">
        <f t="shared" si="67"/>
        <v>58333.333333333343</v>
      </c>
    </row>
    <row r="264" spans="1:21" outlineLevel="2" x14ac:dyDescent="0.2">
      <c r="A264" s="231" t="s">
        <v>495</v>
      </c>
      <c r="B264" s="262" t="s">
        <v>379</v>
      </c>
      <c r="C264" s="262">
        <v>9</v>
      </c>
      <c r="D264" s="262"/>
      <c r="E264" s="262"/>
      <c r="F264" s="263"/>
      <c r="G264" s="262">
        <v>8810</v>
      </c>
      <c r="H264" s="116">
        <v>100000</v>
      </c>
      <c r="I264" s="100">
        <f t="shared" si="66"/>
        <v>0</v>
      </c>
      <c r="J264" s="100">
        <f t="shared" si="66"/>
        <v>0</v>
      </c>
      <c r="K264" s="100">
        <f t="shared" si="66"/>
        <v>0</v>
      </c>
      <c r="L264" s="100">
        <f t="shared" si="66"/>
        <v>0</v>
      </c>
      <c r="M264" s="100">
        <f t="shared" si="66"/>
        <v>0</v>
      </c>
      <c r="N264" s="100">
        <f t="shared" si="66"/>
        <v>0</v>
      </c>
      <c r="O264" s="100">
        <f t="shared" si="66"/>
        <v>0</v>
      </c>
      <c r="P264" s="100">
        <f t="shared" si="66"/>
        <v>0</v>
      </c>
      <c r="Q264" s="100">
        <f t="shared" si="66"/>
        <v>8333.3333333333339</v>
      </c>
      <c r="R264" s="100">
        <f t="shared" si="66"/>
        <v>8333.3333333333339</v>
      </c>
      <c r="S264" s="100">
        <f t="shared" si="66"/>
        <v>8333.3333333333339</v>
      </c>
      <c r="T264" s="100">
        <f t="shared" si="66"/>
        <v>8333.3333333333339</v>
      </c>
      <c r="U264" s="120">
        <f t="shared" si="67"/>
        <v>33333.333333333336</v>
      </c>
    </row>
    <row r="265" spans="1:21" outlineLevel="2" x14ac:dyDescent="0.2">
      <c r="A265" s="231" t="s">
        <v>495</v>
      </c>
      <c r="B265" s="262" t="s">
        <v>380</v>
      </c>
      <c r="C265" s="262">
        <v>9</v>
      </c>
      <c r="D265" s="262"/>
      <c r="E265" s="262"/>
      <c r="F265" s="263"/>
      <c r="G265" s="262">
        <v>8810</v>
      </c>
      <c r="H265" s="116">
        <v>100000</v>
      </c>
      <c r="I265" s="100">
        <f t="shared" si="66"/>
        <v>0</v>
      </c>
      <c r="J265" s="100">
        <f t="shared" si="66"/>
        <v>0</v>
      </c>
      <c r="K265" s="100">
        <f t="shared" si="66"/>
        <v>0</v>
      </c>
      <c r="L265" s="100">
        <f t="shared" si="66"/>
        <v>0</v>
      </c>
      <c r="M265" s="100">
        <f t="shared" si="66"/>
        <v>0</v>
      </c>
      <c r="N265" s="100">
        <f t="shared" si="66"/>
        <v>0</v>
      </c>
      <c r="O265" s="100">
        <f t="shared" si="66"/>
        <v>0</v>
      </c>
      <c r="P265" s="100">
        <f t="shared" si="66"/>
        <v>0</v>
      </c>
      <c r="Q265" s="100">
        <f t="shared" si="66"/>
        <v>8333.3333333333339</v>
      </c>
      <c r="R265" s="100">
        <f t="shared" si="66"/>
        <v>8333.3333333333339</v>
      </c>
      <c r="S265" s="100">
        <f t="shared" si="66"/>
        <v>8333.3333333333339</v>
      </c>
      <c r="T265" s="100">
        <f t="shared" si="66"/>
        <v>8333.3333333333339</v>
      </c>
      <c r="U265" s="120">
        <f t="shared" si="67"/>
        <v>33333.333333333336</v>
      </c>
    </row>
    <row r="266" spans="1:21" outlineLevel="2" x14ac:dyDescent="0.2">
      <c r="A266" s="231" t="s">
        <v>495</v>
      </c>
      <c r="B266" s="262" t="s">
        <v>381</v>
      </c>
      <c r="C266" s="262">
        <v>12</v>
      </c>
      <c r="D266" s="262"/>
      <c r="E266" s="262"/>
      <c r="F266" s="263"/>
      <c r="G266" s="262">
        <v>8810</v>
      </c>
      <c r="H266" s="116">
        <v>100000</v>
      </c>
      <c r="I266" s="100">
        <f t="shared" si="66"/>
        <v>0</v>
      </c>
      <c r="J266" s="100">
        <f t="shared" si="66"/>
        <v>0</v>
      </c>
      <c r="K266" s="100">
        <f t="shared" si="66"/>
        <v>0</v>
      </c>
      <c r="L266" s="100">
        <f t="shared" si="66"/>
        <v>0</v>
      </c>
      <c r="M266" s="100">
        <f t="shared" si="66"/>
        <v>0</v>
      </c>
      <c r="N266" s="100">
        <f t="shared" si="66"/>
        <v>0</v>
      </c>
      <c r="O266" s="100">
        <f t="shared" si="66"/>
        <v>0</v>
      </c>
      <c r="P266" s="100">
        <f t="shared" si="66"/>
        <v>0</v>
      </c>
      <c r="Q266" s="100">
        <f t="shared" si="66"/>
        <v>0</v>
      </c>
      <c r="R266" s="100">
        <f t="shared" si="66"/>
        <v>0</v>
      </c>
      <c r="S266" s="100">
        <f t="shared" si="66"/>
        <v>0</v>
      </c>
      <c r="T266" s="100">
        <f t="shared" si="66"/>
        <v>8333.3333333333339</v>
      </c>
      <c r="U266" s="120">
        <f t="shared" si="67"/>
        <v>8333.3333333333339</v>
      </c>
    </row>
    <row r="267" spans="1:21" outlineLevel="2" x14ac:dyDescent="0.2">
      <c r="A267" s="231" t="s">
        <v>495</v>
      </c>
      <c r="B267" s="262" t="s">
        <v>382</v>
      </c>
      <c r="C267" s="262">
        <v>12</v>
      </c>
      <c r="D267" s="262"/>
      <c r="E267" s="262"/>
      <c r="F267" s="263"/>
      <c r="G267" s="262">
        <v>8810</v>
      </c>
      <c r="H267" s="116">
        <v>100000</v>
      </c>
      <c r="I267" s="100">
        <f t="shared" si="66"/>
        <v>0</v>
      </c>
      <c r="J267" s="100">
        <f t="shared" si="66"/>
        <v>0</v>
      </c>
      <c r="K267" s="100">
        <f t="shared" si="66"/>
        <v>0</v>
      </c>
      <c r="L267" s="100">
        <f t="shared" si="66"/>
        <v>0</v>
      </c>
      <c r="M267" s="100">
        <f t="shared" si="66"/>
        <v>0</v>
      </c>
      <c r="N267" s="100">
        <f t="shared" si="66"/>
        <v>0</v>
      </c>
      <c r="O267" s="100">
        <f t="shared" si="66"/>
        <v>0</v>
      </c>
      <c r="P267" s="100">
        <f t="shared" si="66"/>
        <v>0</v>
      </c>
      <c r="Q267" s="100">
        <f t="shared" si="66"/>
        <v>0</v>
      </c>
      <c r="R267" s="100">
        <f t="shared" si="66"/>
        <v>0</v>
      </c>
      <c r="S267" s="100">
        <f t="shared" si="66"/>
        <v>0</v>
      </c>
      <c r="T267" s="100">
        <f t="shared" si="66"/>
        <v>8333.3333333333339</v>
      </c>
      <c r="U267" s="120">
        <f t="shared" si="67"/>
        <v>8333.3333333333339</v>
      </c>
    </row>
    <row r="268" spans="1:21" outlineLevel="2" x14ac:dyDescent="0.2">
      <c r="B268" s="262"/>
      <c r="C268" s="262"/>
      <c r="D268" s="262"/>
      <c r="E268" s="262"/>
      <c r="F268" s="263"/>
      <c r="G268" s="262"/>
      <c r="H268" s="116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</row>
    <row r="269" spans="1:21" outlineLevel="2" x14ac:dyDescent="0.2">
      <c r="B269" s="264"/>
      <c r="C269" s="264">
        <f>SUBTOTAL(3,C259:C268)</f>
        <v>9</v>
      </c>
      <c r="I269" s="264">
        <f>COUNTIF(I258:I268,"&gt;0")</f>
        <v>2</v>
      </c>
      <c r="J269" s="264">
        <f t="shared" ref="J269:U269" si="68">COUNTIF(J258:J268,"&gt;0")</f>
        <v>2</v>
      </c>
      <c r="K269" s="264">
        <f t="shared" si="68"/>
        <v>2</v>
      </c>
      <c r="L269" s="264">
        <f t="shared" si="68"/>
        <v>2</v>
      </c>
      <c r="M269" s="264">
        <f t="shared" si="68"/>
        <v>2</v>
      </c>
      <c r="N269" s="264">
        <f t="shared" si="68"/>
        <v>5</v>
      </c>
      <c r="O269" s="264">
        <f t="shared" si="68"/>
        <v>5</v>
      </c>
      <c r="P269" s="264">
        <f t="shared" si="68"/>
        <v>5</v>
      </c>
      <c r="Q269" s="264">
        <f t="shared" si="68"/>
        <v>7</v>
      </c>
      <c r="R269" s="264">
        <f t="shared" si="68"/>
        <v>7</v>
      </c>
      <c r="S269" s="264">
        <f t="shared" si="68"/>
        <v>7</v>
      </c>
      <c r="T269" s="264">
        <f t="shared" si="68"/>
        <v>9</v>
      </c>
      <c r="U269" s="264">
        <f t="shared" si="68"/>
        <v>9</v>
      </c>
    </row>
    <row r="270" spans="1:21" s="230" customFormat="1" outlineLevel="1" x14ac:dyDescent="0.2">
      <c r="B270" s="230" t="s">
        <v>141</v>
      </c>
      <c r="H270" s="101"/>
      <c r="I270" s="104">
        <f t="shared" ref="I270:U270" si="69">SUM(I259:I268)</f>
        <v>62500</v>
      </c>
      <c r="J270" s="104">
        <f t="shared" si="69"/>
        <v>62500</v>
      </c>
      <c r="K270" s="104">
        <f t="shared" si="69"/>
        <v>62500</v>
      </c>
      <c r="L270" s="104">
        <f t="shared" si="69"/>
        <v>62500</v>
      </c>
      <c r="M270" s="104">
        <f t="shared" si="69"/>
        <v>62500</v>
      </c>
      <c r="N270" s="104">
        <f t="shared" si="69"/>
        <v>87499.999999999985</v>
      </c>
      <c r="O270" s="104">
        <f t="shared" si="69"/>
        <v>87499.999999999985</v>
      </c>
      <c r="P270" s="104">
        <f t="shared" si="69"/>
        <v>87499.999999999985</v>
      </c>
      <c r="Q270" s="104">
        <f t="shared" si="69"/>
        <v>104166.66666666664</v>
      </c>
      <c r="R270" s="104">
        <f t="shared" si="69"/>
        <v>104166.66666666664</v>
      </c>
      <c r="S270" s="104">
        <f t="shared" si="69"/>
        <v>104166.66666666664</v>
      </c>
      <c r="T270" s="104">
        <f t="shared" si="69"/>
        <v>120833.3333333333</v>
      </c>
      <c r="U270" s="104">
        <f t="shared" si="69"/>
        <v>1008333.3333333337</v>
      </c>
    </row>
    <row r="271" spans="1:21" outlineLevel="1" x14ac:dyDescent="0.2"/>
    <row r="272" spans="1:21" outlineLevel="2" x14ac:dyDescent="0.2">
      <c r="B272" s="254" t="s">
        <v>124</v>
      </c>
      <c r="C272" s="299" t="s">
        <v>34</v>
      </c>
      <c r="D272" s="299"/>
      <c r="E272" s="299" t="s">
        <v>35</v>
      </c>
      <c r="F272" s="299"/>
      <c r="G272" s="256"/>
    </row>
    <row r="273" spans="1:21" outlineLevel="2" x14ac:dyDescent="0.2">
      <c r="B273" s="257" t="s">
        <v>36</v>
      </c>
      <c r="C273" s="258" t="s">
        <v>43</v>
      </c>
      <c r="D273" s="259" t="s">
        <v>44</v>
      </c>
      <c r="E273" s="257" t="s">
        <v>40</v>
      </c>
      <c r="F273" s="260" t="s">
        <v>41</v>
      </c>
      <c r="G273" s="261" t="s">
        <v>178</v>
      </c>
      <c r="H273" s="102" t="s">
        <v>13</v>
      </c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02"/>
    </row>
    <row r="274" spans="1:21" outlineLevel="2" x14ac:dyDescent="0.2">
      <c r="A274" s="231" t="s">
        <v>495</v>
      </c>
      <c r="B274" s="262" t="s">
        <v>127</v>
      </c>
      <c r="C274" s="262">
        <v>1</v>
      </c>
      <c r="D274" s="262"/>
      <c r="E274" s="262"/>
      <c r="F274" s="263"/>
      <c r="G274" s="262">
        <v>8810</v>
      </c>
      <c r="H274" s="116">
        <v>180000</v>
      </c>
      <c r="I274" s="100">
        <f t="shared" ref="I274:T276" si="70">IF(I$5&gt;=$C274,$H274/12,0)</f>
        <v>15000</v>
      </c>
      <c r="J274" s="100">
        <f t="shared" si="70"/>
        <v>15000</v>
      </c>
      <c r="K274" s="100">
        <f t="shared" si="70"/>
        <v>15000</v>
      </c>
      <c r="L274" s="100">
        <f t="shared" si="70"/>
        <v>15000</v>
      </c>
      <c r="M274" s="100">
        <f t="shared" si="70"/>
        <v>15000</v>
      </c>
      <c r="N274" s="100">
        <f t="shared" si="70"/>
        <v>15000</v>
      </c>
      <c r="O274" s="100">
        <f t="shared" si="70"/>
        <v>15000</v>
      </c>
      <c r="P274" s="100">
        <f t="shared" si="70"/>
        <v>15000</v>
      </c>
      <c r="Q274" s="100">
        <f t="shared" si="70"/>
        <v>15000</v>
      </c>
      <c r="R274" s="100">
        <f t="shared" si="70"/>
        <v>15000</v>
      </c>
      <c r="S274" s="100">
        <f t="shared" si="70"/>
        <v>15000</v>
      </c>
      <c r="T274" s="100">
        <f t="shared" si="70"/>
        <v>15000</v>
      </c>
      <c r="U274" s="100">
        <f>SUM(I274:T274)</f>
        <v>180000</v>
      </c>
    </row>
    <row r="275" spans="1:21" outlineLevel="2" x14ac:dyDescent="0.2">
      <c r="A275" s="231" t="s">
        <v>495</v>
      </c>
      <c r="B275" s="262" t="s">
        <v>168</v>
      </c>
      <c r="C275" s="262">
        <v>1</v>
      </c>
      <c r="D275" s="262"/>
      <c r="E275" s="262"/>
      <c r="F275" s="263"/>
      <c r="G275" s="262">
        <v>8810</v>
      </c>
      <c r="H275" s="116">
        <v>120000</v>
      </c>
      <c r="I275" s="100">
        <f t="shared" si="70"/>
        <v>10000</v>
      </c>
      <c r="J275" s="100">
        <f t="shared" si="70"/>
        <v>10000</v>
      </c>
      <c r="K275" s="100">
        <f t="shared" si="70"/>
        <v>10000</v>
      </c>
      <c r="L275" s="100">
        <f t="shared" si="70"/>
        <v>10000</v>
      </c>
      <c r="M275" s="100">
        <f t="shared" si="70"/>
        <v>10000</v>
      </c>
      <c r="N275" s="100">
        <f t="shared" si="70"/>
        <v>10000</v>
      </c>
      <c r="O275" s="100">
        <f t="shared" si="70"/>
        <v>10000</v>
      </c>
      <c r="P275" s="100">
        <f t="shared" si="70"/>
        <v>10000</v>
      </c>
      <c r="Q275" s="100">
        <f t="shared" si="70"/>
        <v>10000</v>
      </c>
      <c r="R275" s="100">
        <f t="shared" si="70"/>
        <v>10000</v>
      </c>
      <c r="S275" s="100">
        <f t="shared" si="70"/>
        <v>10000</v>
      </c>
      <c r="T275" s="100">
        <f t="shared" si="70"/>
        <v>10000</v>
      </c>
      <c r="U275" s="100">
        <f>SUM(I275:T275)</f>
        <v>120000</v>
      </c>
    </row>
    <row r="276" spans="1:21" outlineLevel="2" x14ac:dyDescent="0.2">
      <c r="A276" s="231" t="s">
        <v>495</v>
      </c>
      <c r="B276" s="262" t="s">
        <v>168</v>
      </c>
      <c r="C276" s="262">
        <v>1</v>
      </c>
      <c r="D276" s="262"/>
      <c r="E276" s="262"/>
      <c r="F276" s="263"/>
      <c r="G276" s="262">
        <v>8810</v>
      </c>
      <c r="H276" s="116">
        <v>120000</v>
      </c>
      <c r="I276" s="100">
        <f t="shared" si="70"/>
        <v>10000</v>
      </c>
      <c r="J276" s="100">
        <f t="shared" si="70"/>
        <v>10000</v>
      </c>
      <c r="K276" s="100">
        <f t="shared" si="70"/>
        <v>10000</v>
      </c>
      <c r="L276" s="100">
        <f t="shared" si="70"/>
        <v>10000</v>
      </c>
      <c r="M276" s="100">
        <f t="shared" si="70"/>
        <v>10000</v>
      </c>
      <c r="N276" s="100">
        <f t="shared" si="70"/>
        <v>10000</v>
      </c>
      <c r="O276" s="100">
        <f t="shared" si="70"/>
        <v>10000</v>
      </c>
      <c r="P276" s="100">
        <f t="shared" si="70"/>
        <v>10000</v>
      </c>
      <c r="Q276" s="100">
        <f t="shared" si="70"/>
        <v>10000</v>
      </c>
      <c r="R276" s="100">
        <f t="shared" si="70"/>
        <v>10000</v>
      </c>
      <c r="S276" s="100">
        <f t="shared" si="70"/>
        <v>10000</v>
      </c>
      <c r="T276" s="100">
        <f t="shared" si="70"/>
        <v>10000</v>
      </c>
      <c r="U276" s="100">
        <f>SUM(I276:T276)</f>
        <v>120000</v>
      </c>
    </row>
    <row r="277" spans="1:21" outlineLevel="2" x14ac:dyDescent="0.2">
      <c r="B277" s="262"/>
      <c r="C277" s="262"/>
      <c r="D277" s="262"/>
      <c r="E277" s="262"/>
      <c r="F277" s="263"/>
      <c r="G277" s="262"/>
      <c r="H277" s="116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</row>
    <row r="278" spans="1:21" outlineLevel="2" x14ac:dyDescent="0.2">
      <c r="B278" s="264"/>
      <c r="C278" s="264">
        <f>SUBTOTAL(3,C274:C277)</f>
        <v>3</v>
      </c>
      <c r="I278" s="264">
        <f>COUNTIF(I273:I277,"&gt;0")</f>
        <v>3</v>
      </c>
      <c r="J278" s="264">
        <f t="shared" ref="J278:U278" si="71">COUNTIF(J273:J277,"&gt;0")</f>
        <v>3</v>
      </c>
      <c r="K278" s="264">
        <f t="shared" si="71"/>
        <v>3</v>
      </c>
      <c r="L278" s="264">
        <f t="shared" si="71"/>
        <v>3</v>
      </c>
      <c r="M278" s="264">
        <f t="shared" si="71"/>
        <v>3</v>
      </c>
      <c r="N278" s="264">
        <f t="shared" si="71"/>
        <v>3</v>
      </c>
      <c r="O278" s="264">
        <f t="shared" si="71"/>
        <v>3</v>
      </c>
      <c r="P278" s="264">
        <f t="shared" si="71"/>
        <v>3</v>
      </c>
      <c r="Q278" s="264">
        <f t="shared" si="71"/>
        <v>3</v>
      </c>
      <c r="R278" s="264">
        <f t="shared" si="71"/>
        <v>3</v>
      </c>
      <c r="S278" s="264">
        <f t="shared" si="71"/>
        <v>3</v>
      </c>
      <c r="T278" s="264">
        <f t="shared" si="71"/>
        <v>3</v>
      </c>
      <c r="U278" s="264">
        <f t="shared" si="71"/>
        <v>3</v>
      </c>
    </row>
    <row r="279" spans="1:21" s="230" customFormat="1" outlineLevel="1" x14ac:dyDescent="0.2">
      <c r="B279" s="230" t="s">
        <v>142</v>
      </c>
      <c r="H279" s="101"/>
      <c r="I279" s="104">
        <f>SUM(I274:I277)</f>
        <v>35000</v>
      </c>
      <c r="J279" s="104">
        <f t="shared" ref="J279:U279" si="72">SUM(J274:J277)</f>
        <v>35000</v>
      </c>
      <c r="K279" s="104">
        <f t="shared" si="72"/>
        <v>35000</v>
      </c>
      <c r="L279" s="104">
        <f t="shared" si="72"/>
        <v>35000</v>
      </c>
      <c r="M279" s="104">
        <f t="shared" si="72"/>
        <v>35000</v>
      </c>
      <c r="N279" s="104">
        <f t="shared" si="72"/>
        <v>35000</v>
      </c>
      <c r="O279" s="104">
        <f t="shared" si="72"/>
        <v>35000</v>
      </c>
      <c r="P279" s="104">
        <f t="shared" si="72"/>
        <v>35000</v>
      </c>
      <c r="Q279" s="104">
        <f t="shared" si="72"/>
        <v>35000</v>
      </c>
      <c r="R279" s="104">
        <f t="shared" si="72"/>
        <v>35000</v>
      </c>
      <c r="S279" s="104">
        <f t="shared" si="72"/>
        <v>35000</v>
      </c>
      <c r="T279" s="104">
        <f t="shared" si="72"/>
        <v>35000</v>
      </c>
      <c r="U279" s="104">
        <f t="shared" si="72"/>
        <v>420000</v>
      </c>
    </row>
    <row r="281" spans="1:21" outlineLevel="2" x14ac:dyDescent="0.2">
      <c r="B281" s="254" t="s">
        <v>143</v>
      </c>
      <c r="C281" s="299" t="s">
        <v>34</v>
      </c>
      <c r="D281" s="299"/>
      <c r="E281" s="299" t="s">
        <v>35</v>
      </c>
      <c r="F281" s="299"/>
      <c r="G281" s="256"/>
    </row>
    <row r="282" spans="1:21" outlineLevel="2" x14ac:dyDescent="0.2">
      <c r="B282" s="257" t="s">
        <v>36</v>
      </c>
      <c r="C282" s="258" t="s">
        <v>43</v>
      </c>
      <c r="D282" s="259" t="s">
        <v>44</v>
      </c>
      <c r="E282" s="257" t="s">
        <v>40</v>
      </c>
      <c r="F282" s="260" t="s">
        <v>41</v>
      </c>
      <c r="G282" s="261" t="s">
        <v>178</v>
      </c>
      <c r="H282" s="102" t="s">
        <v>13</v>
      </c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</row>
    <row r="283" spans="1:21" outlineLevel="2" x14ac:dyDescent="0.2">
      <c r="A283" s="231" t="s">
        <v>495</v>
      </c>
      <c r="B283" s="262" t="s">
        <v>170</v>
      </c>
      <c r="C283" s="262">
        <v>1</v>
      </c>
      <c r="D283" s="262"/>
      <c r="E283" s="262"/>
      <c r="F283" s="263"/>
      <c r="G283" s="262">
        <v>8810</v>
      </c>
      <c r="H283" s="116">
        <v>150000</v>
      </c>
      <c r="I283" s="100">
        <f t="shared" ref="I283:T292" si="73">IF(I$5&gt;=$C283,$H283/12,0)</f>
        <v>12500</v>
      </c>
      <c r="J283" s="100">
        <f t="shared" si="73"/>
        <v>12500</v>
      </c>
      <c r="K283" s="100">
        <f t="shared" si="73"/>
        <v>12500</v>
      </c>
      <c r="L283" s="100">
        <f t="shared" si="73"/>
        <v>12500</v>
      </c>
      <c r="M283" s="100">
        <f t="shared" si="73"/>
        <v>12500</v>
      </c>
      <c r="N283" s="100">
        <f t="shared" si="73"/>
        <v>12500</v>
      </c>
      <c r="O283" s="100">
        <f t="shared" si="73"/>
        <v>12500</v>
      </c>
      <c r="P283" s="100">
        <f t="shared" si="73"/>
        <v>12500</v>
      </c>
      <c r="Q283" s="100">
        <f t="shared" si="73"/>
        <v>12500</v>
      </c>
      <c r="R283" s="100">
        <f t="shared" si="73"/>
        <v>12500</v>
      </c>
      <c r="S283" s="100">
        <f t="shared" si="73"/>
        <v>12500</v>
      </c>
      <c r="T283" s="100">
        <f t="shared" si="73"/>
        <v>12500</v>
      </c>
      <c r="U283" s="100">
        <f>SUM(I283:T283)</f>
        <v>150000</v>
      </c>
    </row>
    <row r="284" spans="1:21" outlineLevel="2" x14ac:dyDescent="0.2">
      <c r="A284" s="231" t="s">
        <v>495</v>
      </c>
      <c r="B284" s="262" t="s">
        <v>171</v>
      </c>
      <c r="C284" s="262">
        <v>1</v>
      </c>
      <c r="D284" s="262"/>
      <c r="E284" s="262"/>
      <c r="F284" s="263"/>
      <c r="G284" s="262">
        <v>8810</v>
      </c>
      <c r="H284" s="116">
        <v>60000</v>
      </c>
      <c r="I284" s="100">
        <f t="shared" si="73"/>
        <v>5000</v>
      </c>
      <c r="J284" s="100">
        <f t="shared" si="73"/>
        <v>5000</v>
      </c>
      <c r="K284" s="100">
        <f t="shared" si="73"/>
        <v>5000</v>
      </c>
      <c r="L284" s="100">
        <f t="shared" si="73"/>
        <v>5000</v>
      </c>
      <c r="M284" s="100">
        <f t="shared" si="73"/>
        <v>5000</v>
      </c>
      <c r="N284" s="100">
        <f t="shared" si="73"/>
        <v>5000</v>
      </c>
      <c r="O284" s="100">
        <f t="shared" si="73"/>
        <v>5000</v>
      </c>
      <c r="P284" s="100">
        <f t="shared" si="73"/>
        <v>5000</v>
      </c>
      <c r="Q284" s="100">
        <f t="shared" si="73"/>
        <v>5000</v>
      </c>
      <c r="R284" s="100">
        <f t="shared" si="73"/>
        <v>5000</v>
      </c>
      <c r="S284" s="100">
        <f t="shared" si="73"/>
        <v>5000</v>
      </c>
      <c r="T284" s="100">
        <f t="shared" si="73"/>
        <v>5000</v>
      </c>
      <c r="U284" s="100">
        <f>SUM(I284:T284)</f>
        <v>60000</v>
      </c>
    </row>
    <row r="285" spans="1:21" outlineLevel="2" x14ac:dyDescent="0.2">
      <c r="A285" s="231" t="s">
        <v>495</v>
      </c>
      <c r="B285" s="262" t="s">
        <v>171</v>
      </c>
      <c r="C285" s="262">
        <v>10</v>
      </c>
      <c r="D285" s="262"/>
      <c r="E285" s="262"/>
      <c r="F285" s="263"/>
      <c r="G285" s="262">
        <v>8810</v>
      </c>
      <c r="H285" s="116">
        <v>60000</v>
      </c>
      <c r="I285" s="100">
        <f t="shared" si="73"/>
        <v>0</v>
      </c>
      <c r="J285" s="100">
        <f t="shared" si="73"/>
        <v>0</v>
      </c>
      <c r="K285" s="100">
        <f t="shared" si="73"/>
        <v>0</v>
      </c>
      <c r="L285" s="100">
        <f t="shared" si="73"/>
        <v>0</v>
      </c>
      <c r="M285" s="100">
        <f t="shared" si="73"/>
        <v>0</v>
      </c>
      <c r="N285" s="100">
        <f t="shared" si="73"/>
        <v>0</v>
      </c>
      <c r="O285" s="100">
        <f t="shared" si="73"/>
        <v>0</v>
      </c>
      <c r="P285" s="100">
        <f t="shared" si="73"/>
        <v>0</v>
      </c>
      <c r="Q285" s="100">
        <f t="shared" si="73"/>
        <v>0</v>
      </c>
      <c r="R285" s="100">
        <f t="shared" si="73"/>
        <v>5000</v>
      </c>
      <c r="S285" s="100">
        <f t="shared" si="73"/>
        <v>5000</v>
      </c>
      <c r="T285" s="100">
        <f t="shared" si="73"/>
        <v>5000</v>
      </c>
      <c r="U285" s="100">
        <f>SUM(I285:T285)</f>
        <v>15000</v>
      </c>
    </row>
    <row r="286" spans="1:21" outlineLevel="2" x14ac:dyDescent="0.2">
      <c r="A286" s="231" t="s">
        <v>495</v>
      </c>
      <c r="B286" s="262" t="s">
        <v>173</v>
      </c>
      <c r="C286" s="262">
        <v>1</v>
      </c>
      <c r="D286" s="262"/>
      <c r="E286" s="262"/>
      <c r="F286" s="263"/>
      <c r="G286" s="262">
        <v>8810</v>
      </c>
      <c r="H286" s="116">
        <v>90000</v>
      </c>
      <c r="I286" s="100">
        <f t="shared" si="73"/>
        <v>7500</v>
      </c>
      <c r="J286" s="100">
        <f t="shared" si="73"/>
        <v>7500</v>
      </c>
      <c r="K286" s="100">
        <f t="shared" si="73"/>
        <v>7500</v>
      </c>
      <c r="L286" s="100">
        <f t="shared" si="73"/>
        <v>7500</v>
      </c>
      <c r="M286" s="100">
        <f t="shared" si="73"/>
        <v>7500</v>
      </c>
      <c r="N286" s="100">
        <f t="shared" si="73"/>
        <v>7500</v>
      </c>
      <c r="O286" s="100">
        <f t="shared" si="73"/>
        <v>7500</v>
      </c>
      <c r="P286" s="100">
        <f t="shared" si="73"/>
        <v>7500</v>
      </c>
      <c r="Q286" s="100">
        <f t="shared" si="73"/>
        <v>7500</v>
      </c>
      <c r="R286" s="100">
        <f t="shared" si="73"/>
        <v>7500</v>
      </c>
      <c r="S286" s="100">
        <f t="shared" si="73"/>
        <v>7500</v>
      </c>
      <c r="T286" s="100">
        <f t="shared" si="73"/>
        <v>7500</v>
      </c>
      <c r="U286" s="100">
        <f t="shared" ref="U286:U292" si="74">SUM(I286:T286)</f>
        <v>90000</v>
      </c>
    </row>
    <row r="287" spans="1:21" outlineLevel="2" x14ac:dyDescent="0.2">
      <c r="A287" s="231" t="s">
        <v>495</v>
      </c>
      <c r="B287" s="262" t="s">
        <v>383</v>
      </c>
      <c r="C287" s="262">
        <v>6</v>
      </c>
      <c r="D287" s="262"/>
      <c r="E287" s="262"/>
      <c r="F287" s="263"/>
      <c r="G287" s="262">
        <v>8810</v>
      </c>
      <c r="H287" s="116">
        <v>70000</v>
      </c>
      <c r="I287" s="100">
        <f t="shared" si="73"/>
        <v>0</v>
      </c>
      <c r="J287" s="100">
        <f t="shared" si="73"/>
        <v>0</v>
      </c>
      <c r="K287" s="100">
        <f t="shared" si="73"/>
        <v>0</v>
      </c>
      <c r="L287" s="100">
        <f t="shared" si="73"/>
        <v>0</v>
      </c>
      <c r="M287" s="100">
        <f t="shared" si="73"/>
        <v>0</v>
      </c>
      <c r="N287" s="100">
        <f t="shared" si="73"/>
        <v>5833.333333333333</v>
      </c>
      <c r="O287" s="100">
        <f t="shared" si="73"/>
        <v>5833.333333333333</v>
      </c>
      <c r="P287" s="100">
        <f t="shared" si="73"/>
        <v>5833.333333333333</v>
      </c>
      <c r="Q287" s="100">
        <f t="shared" si="73"/>
        <v>5833.333333333333</v>
      </c>
      <c r="R287" s="100">
        <f t="shared" si="73"/>
        <v>5833.333333333333</v>
      </c>
      <c r="S287" s="100">
        <f t="shared" si="73"/>
        <v>5833.333333333333</v>
      </c>
      <c r="T287" s="100">
        <f t="shared" si="73"/>
        <v>5833.333333333333</v>
      </c>
      <c r="U287" s="100">
        <f t="shared" si="74"/>
        <v>40833.333333333336</v>
      </c>
    </row>
    <row r="288" spans="1:21" outlineLevel="2" x14ac:dyDescent="0.2">
      <c r="A288" s="231" t="s">
        <v>495</v>
      </c>
      <c r="B288" s="262" t="s">
        <v>384</v>
      </c>
      <c r="C288" s="262">
        <v>6</v>
      </c>
      <c r="D288" s="262"/>
      <c r="E288" s="262"/>
      <c r="F288" s="263"/>
      <c r="G288" s="262">
        <v>8810</v>
      </c>
      <c r="H288" s="116">
        <v>70000</v>
      </c>
      <c r="I288" s="100">
        <f t="shared" si="73"/>
        <v>0</v>
      </c>
      <c r="J288" s="100">
        <f t="shared" si="73"/>
        <v>0</v>
      </c>
      <c r="K288" s="100">
        <f t="shared" si="73"/>
        <v>0</v>
      </c>
      <c r="L288" s="100">
        <f t="shared" si="73"/>
        <v>0</v>
      </c>
      <c r="M288" s="100">
        <f t="shared" si="73"/>
        <v>0</v>
      </c>
      <c r="N288" s="100">
        <f t="shared" si="73"/>
        <v>5833.333333333333</v>
      </c>
      <c r="O288" s="100">
        <f t="shared" si="73"/>
        <v>5833.333333333333</v>
      </c>
      <c r="P288" s="100">
        <f t="shared" si="73"/>
        <v>5833.333333333333</v>
      </c>
      <c r="Q288" s="100">
        <f t="shared" si="73"/>
        <v>5833.333333333333</v>
      </c>
      <c r="R288" s="100">
        <f t="shared" si="73"/>
        <v>5833.333333333333</v>
      </c>
      <c r="S288" s="100">
        <f t="shared" si="73"/>
        <v>5833.333333333333</v>
      </c>
      <c r="T288" s="100">
        <f t="shared" si="73"/>
        <v>5833.333333333333</v>
      </c>
      <c r="U288" s="100">
        <f t="shared" si="74"/>
        <v>40833.333333333336</v>
      </c>
    </row>
    <row r="289" spans="1:21" outlineLevel="2" x14ac:dyDescent="0.2">
      <c r="A289" s="231" t="s">
        <v>495</v>
      </c>
      <c r="B289" s="262" t="s">
        <v>385</v>
      </c>
      <c r="C289" s="262">
        <v>6</v>
      </c>
      <c r="D289" s="262"/>
      <c r="E289" s="262"/>
      <c r="F289" s="263"/>
      <c r="G289" s="262">
        <v>8810</v>
      </c>
      <c r="H289" s="116">
        <v>70000</v>
      </c>
      <c r="I289" s="100">
        <f t="shared" si="73"/>
        <v>0</v>
      </c>
      <c r="J289" s="100">
        <f t="shared" si="73"/>
        <v>0</v>
      </c>
      <c r="K289" s="100">
        <f t="shared" si="73"/>
        <v>0</v>
      </c>
      <c r="L289" s="100">
        <f t="shared" si="73"/>
        <v>0</v>
      </c>
      <c r="M289" s="100">
        <f t="shared" si="73"/>
        <v>0</v>
      </c>
      <c r="N289" s="100">
        <f t="shared" si="73"/>
        <v>5833.333333333333</v>
      </c>
      <c r="O289" s="100">
        <f t="shared" si="73"/>
        <v>5833.333333333333</v>
      </c>
      <c r="P289" s="100">
        <f t="shared" si="73"/>
        <v>5833.333333333333</v>
      </c>
      <c r="Q289" s="100">
        <f t="shared" si="73"/>
        <v>5833.333333333333</v>
      </c>
      <c r="R289" s="100">
        <f t="shared" si="73"/>
        <v>5833.333333333333</v>
      </c>
      <c r="S289" s="100">
        <f t="shared" si="73"/>
        <v>5833.333333333333</v>
      </c>
      <c r="T289" s="100">
        <f t="shared" si="73"/>
        <v>5833.333333333333</v>
      </c>
      <c r="U289" s="100">
        <f t="shared" si="74"/>
        <v>40833.333333333336</v>
      </c>
    </row>
    <row r="290" spans="1:21" outlineLevel="2" x14ac:dyDescent="0.2">
      <c r="A290" s="231" t="s">
        <v>495</v>
      </c>
      <c r="B290" s="262" t="s">
        <v>386</v>
      </c>
      <c r="C290" s="262">
        <v>6</v>
      </c>
      <c r="D290" s="262"/>
      <c r="E290" s="262"/>
      <c r="F290" s="263"/>
      <c r="G290" s="262">
        <v>8810</v>
      </c>
      <c r="H290" s="116">
        <v>70000</v>
      </c>
      <c r="I290" s="100">
        <f t="shared" si="73"/>
        <v>0</v>
      </c>
      <c r="J290" s="100">
        <f t="shared" si="73"/>
        <v>0</v>
      </c>
      <c r="K290" s="100">
        <f t="shared" si="73"/>
        <v>0</v>
      </c>
      <c r="L290" s="100">
        <f t="shared" si="73"/>
        <v>0</v>
      </c>
      <c r="M290" s="100">
        <f t="shared" si="73"/>
        <v>0</v>
      </c>
      <c r="N290" s="100">
        <f t="shared" si="73"/>
        <v>5833.333333333333</v>
      </c>
      <c r="O290" s="100">
        <f t="shared" si="73"/>
        <v>5833.333333333333</v>
      </c>
      <c r="P290" s="100">
        <f t="shared" si="73"/>
        <v>5833.333333333333</v>
      </c>
      <c r="Q290" s="100">
        <f t="shared" si="73"/>
        <v>5833.333333333333</v>
      </c>
      <c r="R290" s="100">
        <f t="shared" si="73"/>
        <v>5833.333333333333</v>
      </c>
      <c r="S290" s="100">
        <f t="shared" si="73"/>
        <v>5833.333333333333</v>
      </c>
      <c r="T290" s="100">
        <f t="shared" si="73"/>
        <v>5833.333333333333</v>
      </c>
      <c r="U290" s="100">
        <f t="shared" si="74"/>
        <v>40833.333333333336</v>
      </c>
    </row>
    <row r="291" spans="1:21" outlineLevel="2" x14ac:dyDescent="0.2">
      <c r="A291" s="231" t="s">
        <v>495</v>
      </c>
      <c r="B291" s="262" t="s">
        <v>387</v>
      </c>
      <c r="C291" s="262">
        <v>6</v>
      </c>
      <c r="D291" s="262"/>
      <c r="E291" s="262"/>
      <c r="F291" s="263"/>
      <c r="G291" s="262">
        <v>8810</v>
      </c>
      <c r="H291" s="116">
        <v>70000</v>
      </c>
      <c r="I291" s="100">
        <f t="shared" si="73"/>
        <v>0</v>
      </c>
      <c r="J291" s="100">
        <f t="shared" si="73"/>
        <v>0</v>
      </c>
      <c r="K291" s="100">
        <f t="shared" si="73"/>
        <v>0</v>
      </c>
      <c r="L291" s="100">
        <f t="shared" si="73"/>
        <v>0</v>
      </c>
      <c r="M291" s="100">
        <f t="shared" si="73"/>
        <v>0</v>
      </c>
      <c r="N291" s="100">
        <f t="shared" si="73"/>
        <v>5833.333333333333</v>
      </c>
      <c r="O291" s="100">
        <f t="shared" si="73"/>
        <v>5833.333333333333</v>
      </c>
      <c r="P291" s="100">
        <f t="shared" si="73"/>
        <v>5833.333333333333</v>
      </c>
      <c r="Q291" s="100">
        <f t="shared" si="73"/>
        <v>5833.333333333333</v>
      </c>
      <c r="R291" s="100">
        <f t="shared" si="73"/>
        <v>5833.333333333333</v>
      </c>
      <c r="S291" s="100">
        <f t="shared" si="73"/>
        <v>5833.333333333333</v>
      </c>
      <c r="T291" s="100">
        <f t="shared" si="73"/>
        <v>5833.333333333333</v>
      </c>
      <c r="U291" s="100">
        <f t="shared" si="74"/>
        <v>40833.333333333336</v>
      </c>
    </row>
    <row r="292" spans="1:21" outlineLevel="2" x14ac:dyDescent="0.2">
      <c r="A292" s="231" t="s">
        <v>495</v>
      </c>
      <c r="B292" s="262" t="s">
        <v>388</v>
      </c>
      <c r="C292" s="262">
        <v>6</v>
      </c>
      <c r="D292" s="262"/>
      <c r="E292" s="262"/>
      <c r="F292" s="263"/>
      <c r="G292" s="262">
        <v>8810</v>
      </c>
      <c r="H292" s="116">
        <v>70000</v>
      </c>
      <c r="I292" s="100">
        <f t="shared" si="73"/>
        <v>0</v>
      </c>
      <c r="J292" s="100">
        <f t="shared" si="73"/>
        <v>0</v>
      </c>
      <c r="K292" s="100">
        <f t="shared" si="73"/>
        <v>0</v>
      </c>
      <c r="L292" s="100">
        <f t="shared" si="73"/>
        <v>0</v>
      </c>
      <c r="M292" s="100">
        <f t="shared" si="73"/>
        <v>0</v>
      </c>
      <c r="N292" s="100">
        <f t="shared" si="73"/>
        <v>5833.333333333333</v>
      </c>
      <c r="O292" s="100">
        <f t="shared" si="73"/>
        <v>5833.333333333333</v>
      </c>
      <c r="P292" s="100">
        <f t="shared" si="73"/>
        <v>5833.333333333333</v>
      </c>
      <c r="Q292" s="100">
        <f t="shared" si="73"/>
        <v>5833.333333333333</v>
      </c>
      <c r="R292" s="100">
        <f t="shared" si="73"/>
        <v>5833.333333333333</v>
      </c>
      <c r="S292" s="100">
        <f t="shared" si="73"/>
        <v>5833.333333333333</v>
      </c>
      <c r="T292" s="100">
        <f t="shared" si="73"/>
        <v>5833.333333333333</v>
      </c>
      <c r="U292" s="100">
        <f t="shared" si="74"/>
        <v>40833.333333333336</v>
      </c>
    </row>
    <row r="293" spans="1:21" outlineLevel="2" x14ac:dyDescent="0.2">
      <c r="B293" s="262"/>
      <c r="C293" s="262"/>
      <c r="D293" s="262"/>
      <c r="E293" s="262"/>
      <c r="F293" s="263"/>
      <c r="G293" s="262"/>
      <c r="H293" s="116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</row>
    <row r="294" spans="1:21" outlineLevel="2" x14ac:dyDescent="0.2">
      <c r="B294" s="264"/>
      <c r="C294" s="264">
        <f>SUBTOTAL(3,C283:C293)</f>
        <v>10</v>
      </c>
      <c r="I294" s="264">
        <f>COUNTIF(I282:I293,"&gt;0")</f>
        <v>3</v>
      </c>
      <c r="J294" s="264">
        <f t="shared" ref="J294:U294" si="75">COUNTIF(J282:J293,"&gt;0")</f>
        <v>3</v>
      </c>
      <c r="K294" s="264">
        <f t="shared" si="75"/>
        <v>3</v>
      </c>
      <c r="L294" s="264">
        <f t="shared" si="75"/>
        <v>3</v>
      </c>
      <c r="M294" s="264">
        <f t="shared" si="75"/>
        <v>3</v>
      </c>
      <c r="N294" s="264">
        <f t="shared" si="75"/>
        <v>9</v>
      </c>
      <c r="O294" s="264">
        <f t="shared" si="75"/>
        <v>9</v>
      </c>
      <c r="P294" s="264">
        <f t="shared" si="75"/>
        <v>9</v>
      </c>
      <c r="Q294" s="264">
        <f t="shared" si="75"/>
        <v>9</v>
      </c>
      <c r="R294" s="264">
        <f t="shared" si="75"/>
        <v>10</v>
      </c>
      <c r="S294" s="264">
        <f t="shared" si="75"/>
        <v>10</v>
      </c>
      <c r="T294" s="264">
        <f t="shared" si="75"/>
        <v>10</v>
      </c>
      <c r="U294" s="264">
        <f t="shared" si="75"/>
        <v>10</v>
      </c>
    </row>
    <row r="295" spans="1:21" s="230" customFormat="1" outlineLevel="1" x14ac:dyDescent="0.2">
      <c r="B295" s="230" t="s">
        <v>144</v>
      </c>
      <c r="H295" s="101"/>
      <c r="I295" s="104">
        <f>SUM(I283:I293)</f>
        <v>25000</v>
      </c>
      <c r="J295" s="104">
        <f t="shared" ref="J295:U295" si="76">SUM(J283:J293)</f>
        <v>25000</v>
      </c>
      <c r="K295" s="104">
        <f t="shared" si="76"/>
        <v>25000</v>
      </c>
      <c r="L295" s="104">
        <f t="shared" si="76"/>
        <v>25000</v>
      </c>
      <c r="M295" s="104">
        <f t="shared" si="76"/>
        <v>25000</v>
      </c>
      <c r="N295" s="104">
        <f t="shared" si="76"/>
        <v>60000.000000000007</v>
      </c>
      <c r="O295" s="104">
        <f t="shared" si="76"/>
        <v>60000.000000000007</v>
      </c>
      <c r="P295" s="104">
        <f t="shared" si="76"/>
        <v>60000.000000000007</v>
      </c>
      <c r="Q295" s="104">
        <f t="shared" si="76"/>
        <v>60000.000000000007</v>
      </c>
      <c r="R295" s="104">
        <f t="shared" si="76"/>
        <v>65000.000000000015</v>
      </c>
      <c r="S295" s="104">
        <f t="shared" si="76"/>
        <v>65000.000000000015</v>
      </c>
      <c r="T295" s="104">
        <f t="shared" si="76"/>
        <v>65000.000000000015</v>
      </c>
      <c r="U295" s="104">
        <f t="shared" si="76"/>
        <v>559999.99999999988</v>
      </c>
    </row>
    <row r="296" spans="1:21" outlineLevel="2" x14ac:dyDescent="0.2"/>
    <row r="297" spans="1:21" outlineLevel="2" x14ac:dyDescent="0.2">
      <c r="B297" s="269" t="s">
        <v>145</v>
      </c>
      <c r="C297" s="299" t="s">
        <v>34</v>
      </c>
      <c r="D297" s="299"/>
      <c r="E297" s="299" t="s">
        <v>35</v>
      </c>
      <c r="F297" s="299"/>
      <c r="G297" s="256"/>
    </row>
    <row r="298" spans="1:21" outlineLevel="2" x14ac:dyDescent="0.2">
      <c r="B298" s="257" t="s">
        <v>37</v>
      </c>
      <c r="C298" s="258" t="s">
        <v>43</v>
      </c>
      <c r="D298" s="259" t="s">
        <v>44</v>
      </c>
      <c r="E298" s="257" t="s">
        <v>40</v>
      </c>
      <c r="F298" s="260" t="s">
        <v>41</v>
      </c>
      <c r="G298" s="261" t="s">
        <v>178</v>
      </c>
      <c r="H298" s="102" t="s">
        <v>13</v>
      </c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</row>
    <row r="299" spans="1:21" outlineLevel="2" x14ac:dyDescent="0.2">
      <c r="A299" s="231" t="s">
        <v>495</v>
      </c>
      <c r="B299" s="262" t="s">
        <v>127</v>
      </c>
      <c r="C299" s="262">
        <v>1</v>
      </c>
      <c r="D299" s="262"/>
      <c r="E299" s="262"/>
      <c r="F299" s="263"/>
      <c r="G299" s="262">
        <v>8810</v>
      </c>
      <c r="H299" s="116">
        <v>150000</v>
      </c>
      <c r="I299" s="100">
        <f t="shared" ref="I299:T301" si="77">IF(I$5&gt;=$C299,$H299/12,0)</f>
        <v>12500</v>
      </c>
      <c r="J299" s="100">
        <f t="shared" si="77"/>
        <v>12500</v>
      </c>
      <c r="K299" s="100">
        <f t="shared" si="77"/>
        <v>12500</v>
      </c>
      <c r="L299" s="100">
        <f t="shared" si="77"/>
        <v>12500</v>
      </c>
      <c r="M299" s="100">
        <f t="shared" si="77"/>
        <v>12500</v>
      </c>
      <c r="N299" s="100">
        <f t="shared" si="77"/>
        <v>12500</v>
      </c>
      <c r="O299" s="100">
        <f t="shared" si="77"/>
        <v>12500</v>
      </c>
      <c r="P299" s="100">
        <f t="shared" si="77"/>
        <v>12500</v>
      </c>
      <c r="Q299" s="100">
        <f t="shared" si="77"/>
        <v>12500</v>
      </c>
      <c r="R299" s="100">
        <f t="shared" si="77"/>
        <v>12500</v>
      </c>
      <c r="S299" s="100">
        <f t="shared" si="77"/>
        <v>12500</v>
      </c>
      <c r="T299" s="100">
        <f t="shared" si="77"/>
        <v>12500</v>
      </c>
      <c r="U299" s="100">
        <f>SUM(I299:T299)</f>
        <v>150000</v>
      </c>
    </row>
    <row r="300" spans="1:21" outlineLevel="2" x14ac:dyDescent="0.2">
      <c r="A300" s="231" t="s">
        <v>495</v>
      </c>
      <c r="B300" s="262" t="s">
        <v>172</v>
      </c>
      <c r="C300" s="262">
        <v>1</v>
      </c>
      <c r="D300" s="262"/>
      <c r="E300" s="262"/>
      <c r="F300" s="263"/>
      <c r="G300" s="262">
        <v>8810</v>
      </c>
      <c r="H300" s="116">
        <v>70000</v>
      </c>
      <c r="I300" s="100">
        <f t="shared" si="77"/>
        <v>5833.333333333333</v>
      </c>
      <c r="J300" s="100">
        <f t="shared" si="77"/>
        <v>5833.333333333333</v>
      </c>
      <c r="K300" s="100">
        <f t="shared" si="77"/>
        <v>5833.333333333333</v>
      </c>
      <c r="L300" s="100">
        <f t="shared" si="77"/>
        <v>5833.333333333333</v>
      </c>
      <c r="M300" s="100">
        <f t="shared" si="77"/>
        <v>5833.333333333333</v>
      </c>
      <c r="N300" s="100">
        <f t="shared" si="77"/>
        <v>5833.333333333333</v>
      </c>
      <c r="O300" s="100">
        <f t="shared" si="77"/>
        <v>5833.333333333333</v>
      </c>
      <c r="P300" s="100">
        <f t="shared" si="77"/>
        <v>5833.333333333333</v>
      </c>
      <c r="Q300" s="100">
        <f t="shared" si="77"/>
        <v>5833.333333333333</v>
      </c>
      <c r="R300" s="100">
        <f t="shared" si="77"/>
        <v>5833.333333333333</v>
      </c>
      <c r="S300" s="100">
        <f t="shared" si="77"/>
        <v>5833.333333333333</v>
      </c>
      <c r="T300" s="100">
        <f t="shared" si="77"/>
        <v>5833.333333333333</v>
      </c>
      <c r="U300" s="100">
        <f>SUM(I300:T300)</f>
        <v>70000.000000000015</v>
      </c>
    </row>
    <row r="301" spans="1:21" outlineLevel="2" x14ac:dyDescent="0.2">
      <c r="A301" s="231" t="s">
        <v>495</v>
      </c>
      <c r="B301" s="262" t="s">
        <v>389</v>
      </c>
      <c r="C301" s="262">
        <v>12</v>
      </c>
      <c r="D301" s="262"/>
      <c r="E301" s="262"/>
      <c r="F301" s="263"/>
      <c r="G301" s="262">
        <v>8810</v>
      </c>
      <c r="H301" s="116">
        <v>70000</v>
      </c>
      <c r="I301" s="100">
        <f t="shared" si="77"/>
        <v>0</v>
      </c>
      <c r="J301" s="100">
        <f t="shared" si="77"/>
        <v>0</v>
      </c>
      <c r="K301" s="100">
        <f t="shared" si="77"/>
        <v>0</v>
      </c>
      <c r="L301" s="100">
        <f t="shared" si="77"/>
        <v>0</v>
      </c>
      <c r="M301" s="100">
        <f t="shared" si="77"/>
        <v>0</v>
      </c>
      <c r="N301" s="100">
        <f t="shared" si="77"/>
        <v>0</v>
      </c>
      <c r="O301" s="100">
        <f t="shared" si="77"/>
        <v>0</v>
      </c>
      <c r="P301" s="100">
        <f t="shared" si="77"/>
        <v>0</v>
      </c>
      <c r="Q301" s="100">
        <f t="shared" si="77"/>
        <v>0</v>
      </c>
      <c r="R301" s="100">
        <f t="shared" si="77"/>
        <v>0</v>
      </c>
      <c r="S301" s="100">
        <f t="shared" si="77"/>
        <v>0</v>
      </c>
      <c r="T301" s="100">
        <f t="shared" si="77"/>
        <v>5833.333333333333</v>
      </c>
      <c r="U301" s="100">
        <f>SUM(I301:T301)</f>
        <v>5833.333333333333</v>
      </c>
    </row>
    <row r="302" spans="1:21" outlineLevel="2" x14ac:dyDescent="0.2">
      <c r="B302" s="262"/>
      <c r="C302" s="262"/>
      <c r="D302" s="262"/>
      <c r="E302" s="262"/>
      <c r="F302" s="263"/>
      <c r="G302" s="262"/>
      <c r="H302" s="116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</row>
    <row r="303" spans="1:21" outlineLevel="2" x14ac:dyDescent="0.2">
      <c r="B303" s="270"/>
      <c r="C303" s="270">
        <f>SUBTOTAL(3,C299:C302)</f>
        <v>3</v>
      </c>
      <c r="I303" s="264">
        <f>COUNTIF(I298:I302,"&gt;0")</f>
        <v>2</v>
      </c>
      <c r="J303" s="264">
        <f t="shared" ref="J303:U303" si="78">COUNTIF(J298:J302,"&gt;0")</f>
        <v>2</v>
      </c>
      <c r="K303" s="264">
        <f t="shared" si="78"/>
        <v>2</v>
      </c>
      <c r="L303" s="264">
        <f t="shared" si="78"/>
        <v>2</v>
      </c>
      <c r="M303" s="264">
        <f t="shared" si="78"/>
        <v>2</v>
      </c>
      <c r="N303" s="264">
        <f t="shared" si="78"/>
        <v>2</v>
      </c>
      <c r="O303" s="264">
        <f t="shared" si="78"/>
        <v>2</v>
      </c>
      <c r="P303" s="264">
        <f t="shared" si="78"/>
        <v>2</v>
      </c>
      <c r="Q303" s="264">
        <f t="shared" si="78"/>
        <v>2</v>
      </c>
      <c r="R303" s="264">
        <f t="shared" si="78"/>
        <v>2</v>
      </c>
      <c r="S303" s="264">
        <f t="shared" si="78"/>
        <v>2</v>
      </c>
      <c r="T303" s="264">
        <f t="shared" si="78"/>
        <v>3</v>
      </c>
      <c r="U303" s="264">
        <f t="shared" si="78"/>
        <v>3</v>
      </c>
    </row>
    <row r="304" spans="1:21" s="230" customFormat="1" outlineLevel="1" x14ac:dyDescent="0.2">
      <c r="B304" s="230" t="s">
        <v>146</v>
      </c>
      <c r="H304" s="101"/>
      <c r="I304" s="104">
        <f>SUM(I299:I302)</f>
        <v>18333.333333333332</v>
      </c>
      <c r="J304" s="104">
        <f t="shared" ref="J304:U304" si="79">SUM(J299:J302)</f>
        <v>18333.333333333332</v>
      </c>
      <c r="K304" s="104">
        <f t="shared" si="79"/>
        <v>18333.333333333332</v>
      </c>
      <c r="L304" s="104">
        <f t="shared" si="79"/>
        <v>18333.333333333332</v>
      </c>
      <c r="M304" s="104">
        <f t="shared" si="79"/>
        <v>18333.333333333332</v>
      </c>
      <c r="N304" s="104">
        <f t="shared" si="79"/>
        <v>18333.333333333332</v>
      </c>
      <c r="O304" s="104">
        <f t="shared" si="79"/>
        <v>18333.333333333332</v>
      </c>
      <c r="P304" s="104">
        <f t="shared" si="79"/>
        <v>18333.333333333332</v>
      </c>
      <c r="Q304" s="104">
        <f t="shared" si="79"/>
        <v>18333.333333333332</v>
      </c>
      <c r="R304" s="104">
        <f t="shared" si="79"/>
        <v>18333.333333333332</v>
      </c>
      <c r="S304" s="104">
        <f t="shared" si="79"/>
        <v>18333.333333333332</v>
      </c>
      <c r="T304" s="104">
        <f t="shared" si="79"/>
        <v>24166.666666666664</v>
      </c>
      <c r="U304" s="104">
        <f t="shared" si="79"/>
        <v>225833.33333333334</v>
      </c>
    </row>
    <row r="305" spans="1:21" outlineLevel="2" x14ac:dyDescent="0.2">
      <c r="B305" s="271"/>
      <c r="C305" s="271"/>
      <c r="D305" s="271"/>
      <c r="E305" s="271"/>
      <c r="F305" s="271"/>
      <c r="G305" s="271"/>
    </row>
    <row r="306" spans="1:21" outlineLevel="2" x14ac:dyDescent="0.2">
      <c r="B306" s="254" t="s">
        <v>139</v>
      </c>
      <c r="C306" s="299" t="s">
        <v>34</v>
      </c>
      <c r="D306" s="299"/>
      <c r="E306" s="299" t="s">
        <v>35</v>
      </c>
      <c r="F306" s="299"/>
      <c r="G306" s="256"/>
    </row>
    <row r="307" spans="1:21" outlineLevel="2" x14ac:dyDescent="0.2">
      <c r="B307" s="257" t="s">
        <v>37</v>
      </c>
      <c r="C307" s="258" t="s">
        <v>43</v>
      </c>
      <c r="D307" s="259" t="s">
        <v>44</v>
      </c>
      <c r="E307" s="257" t="s">
        <v>40</v>
      </c>
      <c r="F307" s="260" t="s">
        <v>41</v>
      </c>
      <c r="G307" s="261" t="s">
        <v>178</v>
      </c>
      <c r="H307" s="102" t="s">
        <v>13</v>
      </c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</row>
    <row r="308" spans="1:21" outlineLevel="2" x14ac:dyDescent="0.2">
      <c r="A308" s="231" t="s">
        <v>495</v>
      </c>
      <c r="B308" s="262" t="s">
        <v>174</v>
      </c>
      <c r="C308" s="262">
        <v>1</v>
      </c>
      <c r="D308" s="262"/>
      <c r="E308" s="262"/>
      <c r="F308" s="263"/>
      <c r="G308" s="262">
        <v>8810</v>
      </c>
      <c r="H308" s="116">
        <v>180000</v>
      </c>
      <c r="I308" s="100">
        <f t="shared" ref="I308:T314" si="80">IF(I$5&gt;=$C308,$H308/12,0)</f>
        <v>15000</v>
      </c>
      <c r="J308" s="100">
        <f t="shared" si="80"/>
        <v>15000</v>
      </c>
      <c r="K308" s="100">
        <f t="shared" si="80"/>
        <v>15000</v>
      </c>
      <c r="L308" s="100">
        <f t="shared" si="80"/>
        <v>15000</v>
      </c>
      <c r="M308" s="100">
        <f t="shared" si="80"/>
        <v>15000</v>
      </c>
      <c r="N308" s="100">
        <f t="shared" si="80"/>
        <v>15000</v>
      </c>
      <c r="O308" s="100">
        <f t="shared" si="80"/>
        <v>15000</v>
      </c>
      <c r="P308" s="100">
        <f t="shared" si="80"/>
        <v>15000</v>
      </c>
      <c r="Q308" s="100">
        <f t="shared" si="80"/>
        <v>15000</v>
      </c>
      <c r="R308" s="100">
        <f t="shared" si="80"/>
        <v>15000</v>
      </c>
      <c r="S308" s="100">
        <f t="shared" si="80"/>
        <v>15000</v>
      </c>
      <c r="T308" s="100">
        <f t="shared" si="80"/>
        <v>15000</v>
      </c>
      <c r="U308" s="100">
        <f t="shared" ref="U308:U314" si="81">SUM(I308:T308)</f>
        <v>180000</v>
      </c>
    </row>
    <row r="309" spans="1:21" outlineLevel="2" x14ac:dyDescent="0.2">
      <c r="A309" s="231" t="s">
        <v>495</v>
      </c>
      <c r="B309" s="262" t="s">
        <v>426</v>
      </c>
      <c r="C309" s="262">
        <v>1</v>
      </c>
      <c r="D309" s="262"/>
      <c r="E309" s="262"/>
      <c r="F309" s="263"/>
      <c r="G309" s="262">
        <v>8810</v>
      </c>
      <c r="H309" s="116">
        <v>240000</v>
      </c>
      <c r="I309" s="100">
        <f t="shared" si="80"/>
        <v>20000</v>
      </c>
      <c r="J309" s="100">
        <f t="shared" si="80"/>
        <v>20000</v>
      </c>
      <c r="K309" s="100">
        <f t="shared" si="80"/>
        <v>20000</v>
      </c>
      <c r="L309" s="100">
        <f t="shared" si="80"/>
        <v>20000</v>
      </c>
      <c r="M309" s="100">
        <f t="shared" si="80"/>
        <v>20000</v>
      </c>
      <c r="N309" s="100">
        <f t="shared" si="80"/>
        <v>20000</v>
      </c>
      <c r="O309" s="100">
        <f t="shared" si="80"/>
        <v>20000</v>
      </c>
      <c r="P309" s="100">
        <f t="shared" si="80"/>
        <v>20000</v>
      </c>
      <c r="Q309" s="100">
        <f t="shared" si="80"/>
        <v>20000</v>
      </c>
      <c r="R309" s="100">
        <f t="shared" si="80"/>
        <v>20000</v>
      </c>
      <c r="S309" s="100">
        <f t="shared" si="80"/>
        <v>20000</v>
      </c>
      <c r="T309" s="100">
        <f t="shared" si="80"/>
        <v>20000</v>
      </c>
      <c r="U309" s="100">
        <f t="shared" si="81"/>
        <v>240000</v>
      </c>
    </row>
    <row r="310" spans="1:21" outlineLevel="2" x14ac:dyDescent="0.2">
      <c r="A310" s="231" t="s">
        <v>495</v>
      </c>
      <c r="B310" s="262" t="s">
        <v>390</v>
      </c>
      <c r="C310" s="262">
        <v>1</v>
      </c>
      <c r="D310" s="262"/>
      <c r="E310" s="262"/>
      <c r="F310" s="263"/>
      <c r="G310" s="262">
        <v>8810</v>
      </c>
      <c r="H310" s="116">
        <v>60000</v>
      </c>
      <c r="I310" s="100">
        <f t="shared" si="80"/>
        <v>5000</v>
      </c>
      <c r="J310" s="100">
        <f t="shared" si="80"/>
        <v>5000</v>
      </c>
      <c r="K310" s="100">
        <f t="shared" si="80"/>
        <v>5000</v>
      </c>
      <c r="L310" s="100">
        <f t="shared" si="80"/>
        <v>5000</v>
      </c>
      <c r="M310" s="100">
        <f t="shared" si="80"/>
        <v>5000</v>
      </c>
      <c r="N310" s="100">
        <f t="shared" si="80"/>
        <v>5000</v>
      </c>
      <c r="O310" s="100">
        <f t="shared" si="80"/>
        <v>5000</v>
      </c>
      <c r="P310" s="100">
        <f t="shared" si="80"/>
        <v>5000</v>
      </c>
      <c r="Q310" s="100">
        <f t="shared" si="80"/>
        <v>5000</v>
      </c>
      <c r="R310" s="100">
        <f t="shared" si="80"/>
        <v>5000</v>
      </c>
      <c r="S310" s="100">
        <f t="shared" si="80"/>
        <v>5000</v>
      </c>
      <c r="T310" s="100">
        <f t="shared" si="80"/>
        <v>5000</v>
      </c>
      <c r="U310" s="100">
        <f t="shared" si="81"/>
        <v>60000</v>
      </c>
    </row>
    <row r="311" spans="1:21" outlineLevel="2" x14ac:dyDescent="0.2">
      <c r="A311" s="231" t="s">
        <v>495</v>
      </c>
      <c r="B311" s="262" t="s">
        <v>391</v>
      </c>
      <c r="C311" s="262">
        <v>1</v>
      </c>
      <c r="D311" s="262"/>
      <c r="E311" s="262"/>
      <c r="F311" s="263"/>
      <c r="G311" s="262">
        <v>8810</v>
      </c>
      <c r="H311" s="116">
        <v>60000</v>
      </c>
      <c r="I311" s="100">
        <f t="shared" si="80"/>
        <v>5000</v>
      </c>
      <c r="J311" s="100">
        <f t="shared" si="80"/>
        <v>5000</v>
      </c>
      <c r="K311" s="100">
        <f t="shared" si="80"/>
        <v>5000</v>
      </c>
      <c r="L311" s="100">
        <f t="shared" si="80"/>
        <v>5000</v>
      </c>
      <c r="M311" s="100">
        <f t="shared" si="80"/>
        <v>5000</v>
      </c>
      <c r="N311" s="100">
        <f t="shared" si="80"/>
        <v>5000</v>
      </c>
      <c r="O311" s="100">
        <f t="shared" si="80"/>
        <v>5000</v>
      </c>
      <c r="P311" s="100">
        <f t="shared" si="80"/>
        <v>5000</v>
      </c>
      <c r="Q311" s="100">
        <f t="shared" si="80"/>
        <v>5000</v>
      </c>
      <c r="R311" s="100">
        <f t="shared" si="80"/>
        <v>5000</v>
      </c>
      <c r="S311" s="100">
        <f t="shared" si="80"/>
        <v>5000</v>
      </c>
      <c r="T311" s="100">
        <f t="shared" si="80"/>
        <v>5000</v>
      </c>
      <c r="U311" s="100">
        <f t="shared" si="81"/>
        <v>60000</v>
      </c>
    </row>
    <row r="312" spans="1:21" outlineLevel="2" x14ac:dyDescent="0.2">
      <c r="A312" s="231" t="s">
        <v>495</v>
      </c>
      <c r="B312" s="262" t="s">
        <v>392</v>
      </c>
      <c r="C312" s="262">
        <v>12</v>
      </c>
      <c r="D312" s="262"/>
      <c r="E312" s="262"/>
      <c r="F312" s="263"/>
      <c r="G312" s="262">
        <v>8810</v>
      </c>
      <c r="H312" s="116">
        <v>60000</v>
      </c>
      <c r="I312" s="100">
        <f t="shared" si="80"/>
        <v>0</v>
      </c>
      <c r="J312" s="100">
        <f t="shared" si="80"/>
        <v>0</v>
      </c>
      <c r="K312" s="100">
        <f t="shared" si="80"/>
        <v>0</v>
      </c>
      <c r="L312" s="100">
        <f t="shared" si="80"/>
        <v>0</v>
      </c>
      <c r="M312" s="100">
        <f t="shared" si="80"/>
        <v>0</v>
      </c>
      <c r="N312" s="100">
        <f t="shared" si="80"/>
        <v>0</v>
      </c>
      <c r="O312" s="100">
        <f t="shared" si="80"/>
        <v>0</v>
      </c>
      <c r="P312" s="100">
        <f t="shared" si="80"/>
        <v>0</v>
      </c>
      <c r="Q312" s="100">
        <f t="shared" si="80"/>
        <v>0</v>
      </c>
      <c r="R312" s="100">
        <f t="shared" si="80"/>
        <v>0</v>
      </c>
      <c r="S312" s="100">
        <f t="shared" si="80"/>
        <v>0</v>
      </c>
      <c r="T312" s="100">
        <f t="shared" si="80"/>
        <v>5000</v>
      </c>
      <c r="U312" s="100">
        <f t="shared" si="81"/>
        <v>5000</v>
      </c>
    </row>
    <row r="313" spans="1:21" outlineLevel="2" x14ac:dyDescent="0.2">
      <c r="A313" s="231" t="s">
        <v>495</v>
      </c>
      <c r="B313" s="262" t="s">
        <v>393</v>
      </c>
      <c r="C313" s="262">
        <v>12</v>
      </c>
      <c r="D313" s="262"/>
      <c r="E313" s="262"/>
      <c r="F313" s="263"/>
      <c r="G313" s="262">
        <v>8810</v>
      </c>
      <c r="H313" s="116">
        <v>60000</v>
      </c>
      <c r="I313" s="100">
        <f t="shared" si="80"/>
        <v>0</v>
      </c>
      <c r="J313" s="100">
        <f t="shared" si="80"/>
        <v>0</v>
      </c>
      <c r="K313" s="100">
        <f t="shared" si="80"/>
        <v>0</v>
      </c>
      <c r="L313" s="100">
        <f t="shared" si="80"/>
        <v>0</v>
      </c>
      <c r="M313" s="100">
        <f t="shared" si="80"/>
        <v>0</v>
      </c>
      <c r="N313" s="100">
        <f t="shared" si="80"/>
        <v>0</v>
      </c>
      <c r="O313" s="100">
        <f t="shared" si="80"/>
        <v>0</v>
      </c>
      <c r="P313" s="100">
        <f t="shared" si="80"/>
        <v>0</v>
      </c>
      <c r="Q313" s="100">
        <f t="shared" si="80"/>
        <v>0</v>
      </c>
      <c r="R313" s="100">
        <f t="shared" si="80"/>
        <v>0</v>
      </c>
      <c r="S313" s="100">
        <f t="shared" si="80"/>
        <v>0</v>
      </c>
      <c r="T313" s="100">
        <f t="shared" si="80"/>
        <v>5000</v>
      </c>
      <c r="U313" s="100">
        <f t="shared" si="81"/>
        <v>5000</v>
      </c>
    </row>
    <row r="314" spans="1:21" outlineLevel="2" x14ac:dyDescent="0.2">
      <c r="A314" s="231" t="s">
        <v>495</v>
      </c>
      <c r="B314" s="262" t="s">
        <v>271</v>
      </c>
      <c r="C314" s="262">
        <v>1</v>
      </c>
      <c r="D314" s="262"/>
      <c r="E314" s="262"/>
      <c r="F314" s="263"/>
      <c r="G314" s="262">
        <v>8810</v>
      </c>
      <c r="H314" s="116">
        <v>50000</v>
      </c>
      <c r="I314" s="100">
        <f t="shared" si="80"/>
        <v>4166.666666666667</v>
      </c>
      <c r="J314" s="100">
        <f t="shared" si="80"/>
        <v>4166.666666666667</v>
      </c>
      <c r="K314" s="100">
        <f t="shared" si="80"/>
        <v>4166.666666666667</v>
      </c>
      <c r="L314" s="100">
        <f t="shared" si="80"/>
        <v>4166.666666666667</v>
      </c>
      <c r="M314" s="100">
        <f t="shared" si="80"/>
        <v>4166.666666666667</v>
      </c>
      <c r="N314" s="100">
        <f t="shared" si="80"/>
        <v>4166.666666666667</v>
      </c>
      <c r="O314" s="100">
        <f t="shared" si="80"/>
        <v>4166.666666666667</v>
      </c>
      <c r="P314" s="100">
        <f t="shared" si="80"/>
        <v>4166.666666666667</v>
      </c>
      <c r="Q314" s="100">
        <f t="shared" si="80"/>
        <v>4166.666666666667</v>
      </c>
      <c r="R314" s="100">
        <f t="shared" si="80"/>
        <v>4166.666666666667</v>
      </c>
      <c r="S314" s="100">
        <f t="shared" si="80"/>
        <v>4166.666666666667</v>
      </c>
      <c r="T314" s="100">
        <f t="shared" si="80"/>
        <v>4166.666666666667</v>
      </c>
      <c r="U314" s="100">
        <f t="shared" si="81"/>
        <v>49999.999999999993</v>
      </c>
    </row>
    <row r="315" spans="1:21" outlineLevel="2" x14ac:dyDescent="0.2">
      <c r="B315" s="262"/>
      <c r="C315" s="262"/>
      <c r="D315" s="262"/>
      <c r="E315" s="262"/>
      <c r="F315" s="263"/>
      <c r="G315" s="262"/>
      <c r="H315" s="116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</row>
    <row r="316" spans="1:21" outlineLevel="2" x14ac:dyDescent="0.2">
      <c r="B316" s="264"/>
      <c r="C316" s="264">
        <f>SUBTOTAL(3,C308:C315)</f>
        <v>7</v>
      </c>
      <c r="I316" s="264">
        <f t="shared" ref="I316:U316" si="82">COUNTIF(I307:I315,"&gt;0")</f>
        <v>5</v>
      </c>
      <c r="J316" s="264">
        <f t="shared" si="82"/>
        <v>5</v>
      </c>
      <c r="K316" s="264">
        <f t="shared" si="82"/>
        <v>5</v>
      </c>
      <c r="L316" s="264">
        <f t="shared" si="82"/>
        <v>5</v>
      </c>
      <c r="M316" s="264">
        <f t="shared" si="82"/>
        <v>5</v>
      </c>
      <c r="N316" s="264">
        <f t="shared" si="82"/>
        <v>5</v>
      </c>
      <c r="O316" s="264">
        <f t="shared" si="82"/>
        <v>5</v>
      </c>
      <c r="P316" s="264">
        <f t="shared" si="82"/>
        <v>5</v>
      </c>
      <c r="Q316" s="264">
        <f t="shared" si="82"/>
        <v>5</v>
      </c>
      <c r="R316" s="264">
        <f t="shared" si="82"/>
        <v>5</v>
      </c>
      <c r="S316" s="264">
        <f t="shared" si="82"/>
        <v>5</v>
      </c>
      <c r="T316" s="264">
        <f t="shared" si="82"/>
        <v>7</v>
      </c>
      <c r="U316" s="264">
        <f t="shared" si="82"/>
        <v>7</v>
      </c>
    </row>
    <row r="317" spans="1:21" s="230" customFormat="1" outlineLevel="1" x14ac:dyDescent="0.2">
      <c r="B317" s="230" t="s">
        <v>147</v>
      </c>
      <c r="H317" s="101"/>
      <c r="I317" s="104">
        <f>SUM(I307:I315)</f>
        <v>49166.666666666664</v>
      </c>
      <c r="J317" s="104">
        <f t="shared" ref="J317:U317" si="83">SUM(J307:J315)</f>
        <v>49166.666666666664</v>
      </c>
      <c r="K317" s="104">
        <f t="shared" si="83"/>
        <v>49166.666666666664</v>
      </c>
      <c r="L317" s="104">
        <f t="shared" si="83"/>
        <v>49166.666666666664</v>
      </c>
      <c r="M317" s="104">
        <f t="shared" si="83"/>
        <v>49166.666666666664</v>
      </c>
      <c r="N317" s="104">
        <f t="shared" si="83"/>
        <v>49166.666666666664</v>
      </c>
      <c r="O317" s="104">
        <f t="shared" si="83"/>
        <v>49166.666666666664</v>
      </c>
      <c r="P317" s="104">
        <f t="shared" si="83"/>
        <v>49166.666666666664</v>
      </c>
      <c r="Q317" s="104">
        <f t="shared" si="83"/>
        <v>49166.666666666664</v>
      </c>
      <c r="R317" s="104">
        <f t="shared" si="83"/>
        <v>49166.666666666664</v>
      </c>
      <c r="S317" s="104">
        <f t="shared" si="83"/>
        <v>49166.666666666664</v>
      </c>
      <c r="T317" s="104">
        <f t="shared" si="83"/>
        <v>59166.666666666664</v>
      </c>
      <c r="U317" s="104">
        <f t="shared" si="83"/>
        <v>600000</v>
      </c>
    </row>
    <row r="318" spans="1:21" s="230" customFormat="1" outlineLevel="1" x14ac:dyDescent="0.2">
      <c r="H318" s="101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</row>
    <row r="319" spans="1:21" outlineLevel="2" x14ac:dyDescent="0.2">
      <c r="B319" s="254" t="s">
        <v>455</v>
      </c>
      <c r="C319" s="299" t="s">
        <v>34</v>
      </c>
      <c r="D319" s="299"/>
      <c r="E319" s="299" t="s">
        <v>35</v>
      </c>
      <c r="F319" s="299"/>
      <c r="G319" s="256"/>
    </row>
    <row r="320" spans="1:21" outlineLevel="2" x14ac:dyDescent="0.2">
      <c r="B320" s="257" t="s">
        <v>37</v>
      </c>
      <c r="C320" s="258" t="s">
        <v>43</v>
      </c>
      <c r="D320" s="259" t="s">
        <v>44</v>
      </c>
      <c r="E320" s="257" t="s">
        <v>40</v>
      </c>
      <c r="F320" s="260" t="s">
        <v>41</v>
      </c>
      <c r="G320" s="261" t="s">
        <v>178</v>
      </c>
      <c r="H320" s="102" t="s">
        <v>13</v>
      </c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</row>
    <row r="321" spans="1:21" outlineLevel="2" x14ac:dyDescent="0.2">
      <c r="A321" s="231" t="s">
        <v>495</v>
      </c>
      <c r="B321" s="262" t="s">
        <v>457</v>
      </c>
      <c r="C321" s="262">
        <v>1</v>
      </c>
      <c r="D321" s="262"/>
      <c r="E321" s="262"/>
      <c r="F321" s="263"/>
      <c r="G321" s="262">
        <v>8810</v>
      </c>
      <c r="H321" s="116">
        <v>600000</v>
      </c>
      <c r="I321" s="100">
        <f t="shared" ref="I321:T327" si="84">IF(I$5&gt;=$C321,$H321/12,0)</f>
        <v>50000</v>
      </c>
      <c r="J321" s="100">
        <f t="shared" si="84"/>
        <v>50000</v>
      </c>
      <c r="K321" s="100">
        <f t="shared" si="84"/>
        <v>50000</v>
      </c>
      <c r="L321" s="100">
        <f t="shared" si="84"/>
        <v>50000</v>
      </c>
      <c r="M321" s="100">
        <f t="shared" si="84"/>
        <v>50000</v>
      </c>
      <c r="N321" s="100">
        <f t="shared" si="84"/>
        <v>50000</v>
      </c>
      <c r="O321" s="100">
        <f t="shared" si="84"/>
        <v>50000</v>
      </c>
      <c r="P321" s="100">
        <f t="shared" si="84"/>
        <v>50000</v>
      </c>
      <c r="Q321" s="100">
        <f t="shared" si="84"/>
        <v>50000</v>
      </c>
      <c r="R321" s="100">
        <f t="shared" si="84"/>
        <v>50000</v>
      </c>
      <c r="S321" s="100">
        <f t="shared" si="84"/>
        <v>50000</v>
      </c>
      <c r="T321" s="100">
        <f t="shared" si="84"/>
        <v>50000</v>
      </c>
      <c r="U321" s="100">
        <f t="shared" ref="U321:U327" si="85">SUM(I321:T321)</f>
        <v>600000</v>
      </c>
    </row>
    <row r="322" spans="1:21" outlineLevel="2" x14ac:dyDescent="0.2">
      <c r="A322" s="231" t="s">
        <v>495</v>
      </c>
      <c r="B322" s="262" t="s">
        <v>457</v>
      </c>
      <c r="C322" s="262">
        <v>1</v>
      </c>
      <c r="D322" s="262"/>
      <c r="E322" s="262"/>
      <c r="F322" s="263"/>
      <c r="G322" s="262">
        <v>8810</v>
      </c>
      <c r="H322" s="116">
        <v>600000</v>
      </c>
      <c r="I322" s="100">
        <f t="shared" si="84"/>
        <v>50000</v>
      </c>
      <c r="J322" s="100">
        <f t="shared" si="84"/>
        <v>50000</v>
      </c>
      <c r="K322" s="100">
        <f t="shared" si="84"/>
        <v>50000</v>
      </c>
      <c r="L322" s="100">
        <f t="shared" si="84"/>
        <v>50000</v>
      </c>
      <c r="M322" s="100">
        <f t="shared" si="84"/>
        <v>50000</v>
      </c>
      <c r="N322" s="100">
        <f t="shared" si="84"/>
        <v>50000</v>
      </c>
      <c r="O322" s="100">
        <f t="shared" si="84"/>
        <v>50000</v>
      </c>
      <c r="P322" s="100">
        <f t="shared" si="84"/>
        <v>50000</v>
      </c>
      <c r="Q322" s="100">
        <f t="shared" si="84"/>
        <v>50000</v>
      </c>
      <c r="R322" s="100">
        <f t="shared" si="84"/>
        <v>50000</v>
      </c>
      <c r="S322" s="100">
        <f t="shared" si="84"/>
        <v>50000</v>
      </c>
      <c r="T322" s="100">
        <f t="shared" si="84"/>
        <v>50000</v>
      </c>
      <c r="U322" s="100">
        <f t="shared" si="85"/>
        <v>600000</v>
      </c>
    </row>
    <row r="323" spans="1:21" outlineLevel="2" x14ac:dyDescent="0.2">
      <c r="A323" s="231" t="s">
        <v>495</v>
      </c>
      <c r="B323" s="262" t="s">
        <v>457</v>
      </c>
      <c r="C323" s="262">
        <v>1</v>
      </c>
      <c r="D323" s="262"/>
      <c r="E323" s="262"/>
      <c r="F323" s="263"/>
      <c r="G323" s="262">
        <v>8810</v>
      </c>
      <c r="H323" s="116">
        <v>600000</v>
      </c>
      <c r="I323" s="100">
        <f t="shared" si="84"/>
        <v>50000</v>
      </c>
      <c r="J323" s="100">
        <f t="shared" si="84"/>
        <v>50000</v>
      </c>
      <c r="K323" s="100">
        <f t="shared" si="84"/>
        <v>50000</v>
      </c>
      <c r="L323" s="100">
        <f t="shared" si="84"/>
        <v>50000</v>
      </c>
      <c r="M323" s="100">
        <f t="shared" si="84"/>
        <v>50000</v>
      </c>
      <c r="N323" s="100">
        <f t="shared" si="84"/>
        <v>50000</v>
      </c>
      <c r="O323" s="100">
        <f t="shared" si="84"/>
        <v>50000</v>
      </c>
      <c r="P323" s="100">
        <f t="shared" si="84"/>
        <v>50000</v>
      </c>
      <c r="Q323" s="100">
        <f t="shared" si="84"/>
        <v>50000</v>
      </c>
      <c r="R323" s="100">
        <f t="shared" si="84"/>
        <v>50000</v>
      </c>
      <c r="S323" s="100">
        <f t="shared" si="84"/>
        <v>50000</v>
      </c>
      <c r="T323" s="100">
        <f t="shared" si="84"/>
        <v>50000</v>
      </c>
      <c r="U323" s="100">
        <f t="shared" si="85"/>
        <v>600000</v>
      </c>
    </row>
    <row r="324" spans="1:21" outlineLevel="2" x14ac:dyDescent="0.2">
      <c r="A324" s="231" t="s">
        <v>495</v>
      </c>
      <c r="B324" s="262" t="s">
        <v>457</v>
      </c>
      <c r="C324" s="262">
        <v>1</v>
      </c>
      <c r="D324" s="262"/>
      <c r="E324" s="262"/>
      <c r="F324" s="263"/>
      <c r="G324" s="262">
        <v>8810</v>
      </c>
      <c r="H324" s="116">
        <v>600000</v>
      </c>
      <c r="I324" s="100">
        <f t="shared" si="84"/>
        <v>50000</v>
      </c>
      <c r="J324" s="100">
        <f t="shared" si="84"/>
        <v>50000</v>
      </c>
      <c r="K324" s="100">
        <f t="shared" si="84"/>
        <v>50000</v>
      </c>
      <c r="L324" s="100">
        <f t="shared" si="84"/>
        <v>50000</v>
      </c>
      <c r="M324" s="100">
        <f t="shared" si="84"/>
        <v>50000</v>
      </c>
      <c r="N324" s="100">
        <f t="shared" si="84"/>
        <v>50000</v>
      </c>
      <c r="O324" s="100">
        <f t="shared" si="84"/>
        <v>50000</v>
      </c>
      <c r="P324" s="100">
        <f t="shared" si="84"/>
        <v>50000</v>
      </c>
      <c r="Q324" s="100">
        <f t="shared" si="84"/>
        <v>50000</v>
      </c>
      <c r="R324" s="100">
        <f t="shared" si="84"/>
        <v>50000</v>
      </c>
      <c r="S324" s="100">
        <f t="shared" si="84"/>
        <v>50000</v>
      </c>
      <c r="T324" s="100">
        <f t="shared" si="84"/>
        <v>50000</v>
      </c>
      <c r="U324" s="100">
        <f t="shared" si="85"/>
        <v>600000</v>
      </c>
    </row>
    <row r="325" spans="1:21" outlineLevel="2" x14ac:dyDescent="0.2">
      <c r="A325" s="231" t="s">
        <v>495</v>
      </c>
      <c r="B325" s="262" t="s">
        <v>458</v>
      </c>
      <c r="C325" s="262">
        <v>1</v>
      </c>
      <c r="D325" s="262"/>
      <c r="E325" s="262"/>
      <c r="F325" s="263"/>
      <c r="G325" s="262">
        <v>8810</v>
      </c>
      <c r="H325" s="116">
        <v>750000</v>
      </c>
      <c r="I325" s="100">
        <f t="shared" si="84"/>
        <v>62500</v>
      </c>
      <c r="J325" s="100">
        <f t="shared" si="84"/>
        <v>62500</v>
      </c>
      <c r="K325" s="100">
        <f t="shared" si="84"/>
        <v>62500</v>
      </c>
      <c r="L325" s="100">
        <f t="shared" si="84"/>
        <v>62500</v>
      </c>
      <c r="M325" s="100">
        <f t="shared" si="84"/>
        <v>62500</v>
      </c>
      <c r="N325" s="100">
        <f t="shared" si="84"/>
        <v>62500</v>
      </c>
      <c r="O325" s="100">
        <f t="shared" si="84"/>
        <v>62500</v>
      </c>
      <c r="P325" s="100">
        <f t="shared" si="84"/>
        <v>62500</v>
      </c>
      <c r="Q325" s="100">
        <f t="shared" si="84"/>
        <v>62500</v>
      </c>
      <c r="R325" s="100">
        <f t="shared" si="84"/>
        <v>62500</v>
      </c>
      <c r="S325" s="100">
        <f t="shared" si="84"/>
        <v>62500</v>
      </c>
      <c r="T325" s="100">
        <f t="shared" si="84"/>
        <v>62500</v>
      </c>
      <c r="U325" s="100">
        <f t="shared" si="85"/>
        <v>750000</v>
      </c>
    </row>
    <row r="326" spans="1:21" outlineLevel="2" x14ac:dyDescent="0.2">
      <c r="A326" s="231" t="s">
        <v>495</v>
      </c>
      <c r="B326" s="262"/>
      <c r="C326" s="262"/>
      <c r="D326" s="262"/>
      <c r="E326" s="262"/>
      <c r="F326" s="263"/>
      <c r="G326" s="262"/>
      <c r="H326" s="116"/>
      <c r="I326" s="100">
        <f t="shared" si="84"/>
        <v>0</v>
      </c>
      <c r="J326" s="100">
        <f t="shared" si="84"/>
        <v>0</v>
      </c>
      <c r="K326" s="100">
        <f t="shared" si="84"/>
        <v>0</v>
      </c>
      <c r="L326" s="100">
        <f t="shared" si="84"/>
        <v>0</v>
      </c>
      <c r="M326" s="100">
        <f t="shared" si="84"/>
        <v>0</v>
      </c>
      <c r="N326" s="100">
        <f t="shared" si="84"/>
        <v>0</v>
      </c>
      <c r="O326" s="100">
        <f t="shared" si="84"/>
        <v>0</v>
      </c>
      <c r="P326" s="100">
        <f t="shared" si="84"/>
        <v>0</v>
      </c>
      <c r="Q326" s="100">
        <f t="shared" si="84"/>
        <v>0</v>
      </c>
      <c r="R326" s="100">
        <f t="shared" si="84"/>
        <v>0</v>
      </c>
      <c r="S326" s="100">
        <f t="shared" si="84"/>
        <v>0</v>
      </c>
      <c r="T326" s="100">
        <f t="shared" si="84"/>
        <v>0</v>
      </c>
      <c r="U326" s="100">
        <f t="shared" si="85"/>
        <v>0</v>
      </c>
    </row>
    <row r="327" spans="1:21" outlineLevel="2" x14ac:dyDescent="0.2">
      <c r="B327" s="262"/>
      <c r="C327" s="262"/>
      <c r="D327" s="262"/>
      <c r="E327" s="262"/>
      <c r="F327" s="263"/>
      <c r="G327" s="262"/>
      <c r="H327" s="116"/>
      <c r="I327" s="100">
        <f t="shared" si="84"/>
        <v>0</v>
      </c>
      <c r="J327" s="100">
        <f t="shared" si="84"/>
        <v>0</v>
      </c>
      <c r="K327" s="100">
        <f t="shared" si="84"/>
        <v>0</v>
      </c>
      <c r="L327" s="100">
        <f t="shared" si="84"/>
        <v>0</v>
      </c>
      <c r="M327" s="100">
        <f t="shared" si="84"/>
        <v>0</v>
      </c>
      <c r="N327" s="100">
        <f t="shared" si="84"/>
        <v>0</v>
      </c>
      <c r="O327" s="100">
        <f t="shared" si="84"/>
        <v>0</v>
      </c>
      <c r="P327" s="100">
        <f t="shared" si="84"/>
        <v>0</v>
      </c>
      <c r="Q327" s="100">
        <f t="shared" si="84"/>
        <v>0</v>
      </c>
      <c r="R327" s="100">
        <f t="shared" si="84"/>
        <v>0</v>
      </c>
      <c r="S327" s="100">
        <f t="shared" si="84"/>
        <v>0</v>
      </c>
      <c r="T327" s="100">
        <f t="shared" si="84"/>
        <v>0</v>
      </c>
      <c r="U327" s="100">
        <f t="shared" si="85"/>
        <v>0</v>
      </c>
    </row>
    <row r="328" spans="1:21" outlineLevel="2" x14ac:dyDescent="0.2">
      <c r="B328" s="262"/>
      <c r="C328" s="262"/>
      <c r="D328" s="262"/>
      <c r="E328" s="262"/>
      <c r="F328" s="263"/>
      <c r="G328" s="262"/>
      <c r="H328" s="116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</row>
    <row r="329" spans="1:21" outlineLevel="2" x14ac:dyDescent="0.2">
      <c r="B329" s="264"/>
      <c r="C329" s="264">
        <f>SUBTOTAL(3,C321:C328)</f>
        <v>5</v>
      </c>
      <c r="I329" s="264">
        <f t="shared" ref="I329:U329" si="86">COUNTIF(I320:I328,"&gt;0")</f>
        <v>5</v>
      </c>
      <c r="J329" s="264">
        <f t="shared" si="86"/>
        <v>5</v>
      </c>
      <c r="K329" s="264">
        <f t="shared" si="86"/>
        <v>5</v>
      </c>
      <c r="L329" s="264">
        <f t="shared" si="86"/>
        <v>5</v>
      </c>
      <c r="M329" s="264">
        <f t="shared" si="86"/>
        <v>5</v>
      </c>
      <c r="N329" s="264">
        <f t="shared" si="86"/>
        <v>5</v>
      </c>
      <c r="O329" s="264">
        <f t="shared" si="86"/>
        <v>5</v>
      </c>
      <c r="P329" s="264">
        <f t="shared" si="86"/>
        <v>5</v>
      </c>
      <c r="Q329" s="264">
        <f t="shared" si="86"/>
        <v>5</v>
      </c>
      <c r="R329" s="264">
        <f t="shared" si="86"/>
        <v>5</v>
      </c>
      <c r="S329" s="264">
        <f t="shared" si="86"/>
        <v>5</v>
      </c>
      <c r="T329" s="264">
        <f t="shared" si="86"/>
        <v>5</v>
      </c>
      <c r="U329" s="264">
        <f t="shared" si="86"/>
        <v>5</v>
      </c>
    </row>
    <row r="330" spans="1:21" s="230" customFormat="1" outlineLevel="1" x14ac:dyDescent="0.2">
      <c r="B330" s="230" t="s">
        <v>456</v>
      </c>
      <c r="H330" s="101"/>
      <c r="I330" s="104">
        <f t="shared" ref="I330:U330" si="87">SUM(I321:I328)</f>
        <v>262500</v>
      </c>
      <c r="J330" s="104">
        <f t="shared" si="87"/>
        <v>262500</v>
      </c>
      <c r="K330" s="104">
        <f t="shared" si="87"/>
        <v>262500</v>
      </c>
      <c r="L330" s="104">
        <f t="shared" si="87"/>
        <v>262500</v>
      </c>
      <c r="M330" s="104">
        <f t="shared" si="87"/>
        <v>262500</v>
      </c>
      <c r="N330" s="104">
        <f t="shared" si="87"/>
        <v>262500</v>
      </c>
      <c r="O330" s="104">
        <f t="shared" si="87"/>
        <v>262500</v>
      </c>
      <c r="P330" s="104">
        <f t="shared" si="87"/>
        <v>262500</v>
      </c>
      <c r="Q330" s="104">
        <f t="shared" si="87"/>
        <v>262500</v>
      </c>
      <c r="R330" s="104">
        <f t="shared" si="87"/>
        <v>262500</v>
      </c>
      <c r="S330" s="104">
        <f t="shared" si="87"/>
        <v>262500</v>
      </c>
      <c r="T330" s="104">
        <f t="shared" si="87"/>
        <v>262500</v>
      </c>
      <c r="U330" s="104">
        <f t="shared" si="87"/>
        <v>3150000</v>
      </c>
    </row>
    <row r="331" spans="1:21" s="254" customFormat="1" outlineLevel="1" x14ac:dyDescent="0.2">
      <c r="B331" s="264"/>
      <c r="C331" s="264">
        <f>C269+C278+C294+C303+C316+C329</f>
        <v>37</v>
      </c>
      <c r="H331" s="119"/>
      <c r="I331" s="264">
        <f t="shared" ref="I331:U331" si="88">I269+I278+I294+I303+I316</f>
        <v>15</v>
      </c>
      <c r="J331" s="264">
        <f t="shared" si="88"/>
        <v>15</v>
      </c>
      <c r="K331" s="264">
        <f t="shared" si="88"/>
        <v>15</v>
      </c>
      <c r="L331" s="264">
        <f t="shared" si="88"/>
        <v>15</v>
      </c>
      <c r="M331" s="264">
        <f t="shared" si="88"/>
        <v>15</v>
      </c>
      <c r="N331" s="264">
        <f t="shared" si="88"/>
        <v>24</v>
      </c>
      <c r="O331" s="264">
        <f t="shared" si="88"/>
        <v>24</v>
      </c>
      <c r="P331" s="264">
        <f t="shared" si="88"/>
        <v>24</v>
      </c>
      <c r="Q331" s="264">
        <f t="shared" si="88"/>
        <v>26</v>
      </c>
      <c r="R331" s="264">
        <f t="shared" si="88"/>
        <v>27</v>
      </c>
      <c r="S331" s="264">
        <f t="shared" si="88"/>
        <v>27</v>
      </c>
      <c r="T331" s="264">
        <f t="shared" si="88"/>
        <v>32</v>
      </c>
      <c r="U331" s="264">
        <f t="shared" si="88"/>
        <v>32</v>
      </c>
    </row>
    <row r="332" spans="1:21" s="230" customFormat="1" x14ac:dyDescent="0.2">
      <c r="B332" s="268" t="s">
        <v>176</v>
      </c>
      <c r="H332" s="101"/>
      <c r="I332" s="104">
        <f t="shared" ref="I332:U332" si="89">I270+I279+I295+I304+I317+I330</f>
        <v>452500</v>
      </c>
      <c r="J332" s="104">
        <f t="shared" si="89"/>
        <v>452500</v>
      </c>
      <c r="K332" s="104">
        <f t="shared" si="89"/>
        <v>452500</v>
      </c>
      <c r="L332" s="104">
        <f t="shared" si="89"/>
        <v>452500</v>
      </c>
      <c r="M332" s="104">
        <f t="shared" si="89"/>
        <v>452500</v>
      </c>
      <c r="N332" s="104">
        <f t="shared" si="89"/>
        <v>512500</v>
      </c>
      <c r="O332" s="104">
        <f t="shared" si="89"/>
        <v>512500</v>
      </c>
      <c r="P332" s="104">
        <f t="shared" si="89"/>
        <v>512500</v>
      </c>
      <c r="Q332" s="104">
        <f t="shared" si="89"/>
        <v>529166.66666666663</v>
      </c>
      <c r="R332" s="104">
        <f t="shared" si="89"/>
        <v>534166.66666666663</v>
      </c>
      <c r="S332" s="104">
        <f t="shared" si="89"/>
        <v>534166.66666666663</v>
      </c>
      <c r="T332" s="104">
        <f t="shared" si="89"/>
        <v>566666.66666666663</v>
      </c>
      <c r="U332" s="104">
        <f t="shared" si="89"/>
        <v>5964166.666666667</v>
      </c>
    </row>
    <row r="333" spans="1:21" s="230" customFormat="1" x14ac:dyDescent="0.2">
      <c r="B333" s="268"/>
      <c r="H333" s="101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</row>
    <row r="334" spans="1:21" s="280" customFormat="1" x14ac:dyDescent="0.2">
      <c r="B334" s="280" t="s">
        <v>513</v>
      </c>
      <c r="H334" s="281"/>
      <c r="I334" s="155">
        <f>I259+I260+I274+I283+I286+I299+I308+I309+I330</f>
        <v>407500</v>
      </c>
      <c r="J334" s="155">
        <f t="shared" ref="J334:U334" si="90">J259+J260+J274+J283+J286+J299+J308+J309+J330</f>
        <v>407500</v>
      </c>
      <c r="K334" s="155">
        <f t="shared" si="90"/>
        <v>407500</v>
      </c>
      <c r="L334" s="155">
        <f t="shared" si="90"/>
        <v>407500</v>
      </c>
      <c r="M334" s="155">
        <f t="shared" si="90"/>
        <v>407500</v>
      </c>
      <c r="N334" s="155">
        <f t="shared" si="90"/>
        <v>407500</v>
      </c>
      <c r="O334" s="155">
        <f t="shared" si="90"/>
        <v>407500</v>
      </c>
      <c r="P334" s="155">
        <f t="shared" si="90"/>
        <v>407500</v>
      </c>
      <c r="Q334" s="155">
        <f t="shared" si="90"/>
        <v>407500</v>
      </c>
      <c r="R334" s="155">
        <f t="shared" si="90"/>
        <v>407500</v>
      </c>
      <c r="S334" s="155">
        <f t="shared" si="90"/>
        <v>407500</v>
      </c>
      <c r="T334" s="155">
        <f t="shared" si="90"/>
        <v>407500</v>
      </c>
      <c r="U334" s="155">
        <f t="shared" si="90"/>
        <v>4890000</v>
      </c>
    </row>
    <row r="336" spans="1:21" ht="25.5" x14ac:dyDescent="0.2">
      <c r="B336" s="230" t="s">
        <v>69</v>
      </c>
      <c r="E336" s="272" t="s">
        <v>197</v>
      </c>
      <c r="F336" s="272" t="s">
        <v>125</v>
      </c>
      <c r="G336" s="272" t="s">
        <v>163</v>
      </c>
    </row>
    <row r="337" spans="2:7" x14ac:dyDescent="0.2">
      <c r="B337" s="234">
        <v>8291</v>
      </c>
      <c r="C337" s="234" t="s">
        <v>180</v>
      </c>
      <c r="E337" s="282">
        <f>'CIL Mgmt Assumptions'!B46</f>
        <v>2.98</v>
      </c>
      <c r="F337" s="100">
        <f>SUMIF($G$258:$G$332,$B337,$U$258:$U$332)</f>
        <v>0</v>
      </c>
      <c r="G337" s="100">
        <f>SUMIF($G$258:$G$332,$B337,$T$258:$T$332)*12*(1+'CIL Mgmt Assumptions'!$B$40)</f>
        <v>0</v>
      </c>
    </row>
    <row r="338" spans="2:7" x14ac:dyDescent="0.2">
      <c r="B338" s="234">
        <v>8742</v>
      </c>
      <c r="C338" s="234" t="s">
        <v>71</v>
      </c>
      <c r="E338" s="282">
        <f>'CIL Mgmt Assumptions'!B47</f>
        <v>0.15</v>
      </c>
      <c r="F338" s="100">
        <f t="shared" ref="F338:F340" si="91">SUMIF($G$258:$G$332,$B338,$U$258:$U$332)</f>
        <v>750000.00000000012</v>
      </c>
      <c r="G338" s="100">
        <f>SUMIF($G$258:$G$332,$B338,$T$258:$T$332)*12*(1+'CIL Mgmt Assumptions'!$B$40)</f>
        <v>810000</v>
      </c>
    </row>
    <row r="339" spans="2:7" x14ac:dyDescent="0.2">
      <c r="B339" s="234">
        <v>8810</v>
      </c>
      <c r="C339" s="234" t="s">
        <v>70</v>
      </c>
      <c r="E339" s="282">
        <f>'CIL Mgmt Assumptions'!B48</f>
        <v>0.11</v>
      </c>
      <c r="F339" s="100">
        <f t="shared" si="91"/>
        <v>5214166.666666666</v>
      </c>
      <c r="G339" s="100">
        <f>SUMIF($G$258:$G$332,$B339,$T$258:$T$332)*12*(1+'CIL Mgmt Assumptions'!$B$40)</f>
        <v>6534000.0000000019</v>
      </c>
    </row>
    <row r="340" spans="2:7" x14ac:dyDescent="0.2">
      <c r="B340" s="234">
        <v>9015</v>
      </c>
      <c r="C340" s="234" t="s">
        <v>259</v>
      </c>
      <c r="E340" s="282">
        <f>'CIL Mgmt Assumptions'!B49</f>
        <v>3</v>
      </c>
      <c r="F340" s="100">
        <f t="shared" si="91"/>
        <v>0</v>
      </c>
      <c r="G340" s="100">
        <f>SUMIF($G$258:$G$332,$B340,$T$258:$T$332)*12*(1+'CIL Mgmt Assumptions'!$B$40)</f>
        <v>0</v>
      </c>
    </row>
    <row r="341" spans="2:7" x14ac:dyDescent="0.2">
      <c r="B341" s="234"/>
      <c r="G341" s="100"/>
    </row>
    <row r="342" spans="2:7" x14ac:dyDescent="0.2">
      <c r="B342" s="234"/>
      <c r="F342" s="239">
        <f>SUM(F337:F341)</f>
        <v>5964166.666666666</v>
      </c>
      <c r="G342" s="239">
        <f>SUM(G337:G341)</f>
        <v>7344000.0000000019</v>
      </c>
    </row>
  </sheetData>
  <mergeCells count="36">
    <mergeCell ref="C196:D196"/>
    <mergeCell ref="E196:F196"/>
    <mergeCell ref="C212:D212"/>
    <mergeCell ref="E212:F212"/>
    <mergeCell ref="C229:D229"/>
    <mergeCell ref="E229:F229"/>
    <mergeCell ref="C159:D159"/>
    <mergeCell ref="E159:F159"/>
    <mergeCell ref="C180:D180"/>
    <mergeCell ref="E180:F180"/>
    <mergeCell ref="C188:D188"/>
    <mergeCell ref="E188:F188"/>
    <mergeCell ref="C297:D297"/>
    <mergeCell ref="E297:F297"/>
    <mergeCell ref="C306:D306"/>
    <mergeCell ref="E306:F306"/>
    <mergeCell ref="C319:D319"/>
    <mergeCell ref="E319:F319"/>
    <mergeCell ref="C257:D257"/>
    <mergeCell ref="E257:F257"/>
    <mergeCell ref="C272:D272"/>
    <mergeCell ref="E272:F272"/>
    <mergeCell ref="C281:D281"/>
    <mergeCell ref="E281:F281"/>
    <mergeCell ref="C55:D55"/>
    <mergeCell ref="E55:F55"/>
    <mergeCell ref="C75:D75"/>
    <mergeCell ref="E75:F75"/>
    <mergeCell ref="C92:D92"/>
    <mergeCell ref="E92:F92"/>
    <mergeCell ref="C7:D7"/>
    <mergeCell ref="E7:F7"/>
    <mergeCell ref="C39:D39"/>
    <mergeCell ref="E39:F39"/>
    <mergeCell ref="C47:D47"/>
    <mergeCell ref="E47:F47"/>
  </mergeCells>
  <printOptions headings="1"/>
  <pageMargins left="0.31" right="0.3" top="0.5" bottom="0.28999999999999998" header="0.25" footer="0.06"/>
  <pageSetup scale="70" fitToHeight="2" orientation="landscape" horizontalDpi="1200" verticalDpi="1200" r:id="rId1"/>
  <headerFooter alignWithMargins="0">
    <oddHeader>&amp;R&amp;8&amp;D&amp;T</oddHeader>
    <oddFooter>&amp;L&amp;D&amp;T&amp;RPage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8"/>
  </sheetPr>
  <dimension ref="A1:U48"/>
  <sheetViews>
    <sheetView workbookViewId="0"/>
  </sheetViews>
  <sheetFormatPr defaultColWidth="9.140625" defaultRowHeight="12.75" outlineLevelCol="1" x14ac:dyDescent="0.2"/>
  <cols>
    <col min="1" max="1" width="48.140625" style="20" customWidth="1"/>
    <col min="2" max="2" width="2.85546875" style="12" customWidth="1"/>
    <col min="3" max="14" width="12.7109375" style="21" customWidth="1" outlineLevel="1"/>
    <col min="15" max="15" width="12.7109375" style="21" customWidth="1"/>
    <col min="16" max="16" width="2.140625" style="21" customWidth="1"/>
    <col min="17" max="17" width="12.7109375" style="50" customWidth="1"/>
    <col min="18" max="20" width="12.7109375" style="21" customWidth="1"/>
    <col min="21" max="16384" width="9.140625" style="20"/>
  </cols>
  <sheetData>
    <row r="1" spans="1:20" s="3" customFormat="1" ht="20.25" x14ac:dyDescent="0.3">
      <c r="A1" s="1" t="s">
        <v>48</v>
      </c>
      <c r="B1" s="2"/>
      <c r="C1" s="300" t="s">
        <v>48</v>
      </c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s="3" customFormat="1" ht="15" x14ac:dyDescent="0.2">
      <c r="A2" s="44" t="s">
        <v>68</v>
      </c>
      <c r="B2" s="4"/>
      <c r="C2" s="301" t="s">
        <v>49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s="3" customFormat="1" ht="15.75" customHeight="1" x14ac:dyDescent="0.25">
      <c r="A3" s="45" t="s">
        <v>109</v>
      </c>
      <c r="B3" s="5"/>
      <c r="C3" s="302" t="str">
        <f>A3</f>
        <v>For the Years ended September 2014-2018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s="6" customFormat="1" x14ac:dyDescent="0.2">
      <c r="B4" s="7"/>
      <c r="C4" s="6">
        <f>Input!C12</f>
        <v>4</v>
      </c>
      <c r="D4" s="6">
        <f>Input!D12</f>
        <v>4</v>
      </c>
      <c r="E4" s="6">
        <f>Input!E12</f>
        <v>5</v>
      </c>
      <c r="F4" s="6">
        <f>Input!F12</f>
        <v>4</v>
      </c>
      <c r="G4" s="6">
        <f>Input!G12</f>
        <v>4</v>
      </c>
      <c r="H4" s="6">
        <f>Input!H12</f>
        <v>5</v>
      </c>
      <c r="I4" s="6">
        <f>Input!I12</f>
        <v>4</v>
      </c>
      <c r="J4" s="6">
        <f>Input!J12</f>
        <v>4</v>
      </c>
      <c r="K4" s="6">
        <f>Input!K12</f>
        <v>5</v>
      </c>
      <c r="L4" s="6">
        <f>Input!L12</f>
        <v>4</v>
      </c>
      <c r="M4" s="6">
        <f>Input!M12</f>
        <v>4</v>
      </c>
      <c r="N4" s="6">
        <f>Input!N12</f>
        <v>5</v>
      </c>
      <c r="O4" s="6">
        <f>SUM(C4:N4)</f>
        <v>52</v>
      </c>
      <c r="Q4" s="51" t="e">
        <f>SUM(#REF!)</f>
        <v>#REF!</v>
      </c>
      <c r="R4" s="6" t="e">
        <f>'FSS Phase 1 P&amp;L'!#REF!</f>
        <v>#REF!</v>
      </c>
      <c r="S4" s="6" t="e">
        <f>'FSS Phase 1 P&amp;L'!#REF!</f>
        <v>#REF!</v>
      </c>
      <c r="T4" s="6" t="e">
        <f>'FSS Phase 1 P&amp;L'!#REF!</f>
        <v>#REF!</v>
      </c>
    </row>
    <row r="5" spans="1:20" s="3" customFormat="1" ht="20.25" x14ac:dyDescent="0.3">
      <c r="B5" s="8"/>
      <c r="C5" s="2" t="s">
        <v>45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9"/>
      <c r="R5" s="2"/>
      <c r="S5" s="2"/>
      <c r="T5" s="2"/>
    </row>
    <row r="6" spans="1:20" s="3" customFormat="1" x14ac:dyDescent="0.2">
      <c r="B6" s="9"/>
      <c r="C6" s="46">
        <f>Input!C15</f>
        <v>0</v>
      </c>
      <c r="D6" s="46">
        <f>Input!D15</f>
        <v>0</v>
      </c>
      <c r="E6" s="46">
        <f>Input!E15</f>
        <v>0</v>
      </c>
      <c r="F6" s="46">
        <f>Input!F15</f>
        <v>0</v>
      </c>
      <c r="G6" s="46">
        <f>Input!G15</f>
        <v>0</v>
      </c>
      <c r="H6" s="46">
        <f>Input!H15</f>
        <v>0</v>
      </c>
      <c r="I6" s="46">
        <f>Input!I15</f>
        <v>0</v>
      </c>
      <c r="J6" s="46">
        <f>Input!J15</f>
        <v>0</v>
      </c>
      <c r="K6" s="46">
        <f>Input!K15</f>
        <v>0</v>
      </c>
      <c r="L6" s="46">
        <f>Input!L15</f>
        <v>0</v>
      </c>
      <c r="M6" s="46">
        <f>Input!M15</f>
        <v>0</v>
      </c>
      <c r="N6" s="46">
        <f>Input!N15</f>
        <v>0</v>
      </c>
      <c r="O6" s="46">
        <f>Input!O15</f>
        <v>0</v>
      </c>
      <c r="P6" s="9"/>
      <c r="Q6" s="46">
        <f>Input!O16</f>
        <v>0</v>
      </c>
      <c r="R6" s="46">
        <f>Input!P16</f>
        <v>0</v>
      </c>
      <c r="S6" s="46">
        <f>Input!Q16</f>
        <v>0</v>
      </c>
      <c r="T6" s="46">
        <f>Input!R16</f>
        <v>0</v>
      </c>
    </row>
    <row r="7" spans="1:20" s="8" customForma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11" customForma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6" customFormat="1" x14ac:dyDescent="0.2">
      <c r="A9" s="14" t="s">
        <v>51</v>
      </c>
      <c r="B9" s="15"/>
      <c r="C9" s="15" t="e">
        <f>'FSS Phase 1 P&amp;L'!#REF!</f>
        <v>#REF!</v>
      </c>
      <c r="D9" s="15" t="e">
        <f>'FSS Phase 1 P&amp;L'!#REF!</f>
        <v>#REF!</v>
      </c>
      <c r="E9" s="15" t="e">
        <f>'FSS Phase 1 P&amp;L'!#REF!</f>
        <v>#REF!</v>
      </c>
      <c r="F9" s="15" t="e">
        <f>'FSS Phase 1 P&amp;L'!#REF!</f>
        <v>#REF!</v>
      </c>
      <c r="G9" s="15" t="e">
        <f>'FSS Phase 1 P&amp;L'!#REF!</f>
        <v>#REF!</v>
      </c>
      <c r="H9" s="15" t="e">
        <f>'FSS Phase 1 P&amp;L'!#REF!</f>
        <v>#REF!</v>
      </c>
      <c r="I9" s="15" t="e">
        <f>'FSS Phase 1 P&amp;L'!#REF!</f>
        <v>#REF!</v>
      </c>
      <c r="J9" s="15" t="e">
        <f>'FSS Phase 1 P&amp;L'!#REF!</f>
        <v>#REF!</v>
      </c>
      <c r="K9" s="15" t="e">
        <f>'FSS Phase 1 P&amp;L'!#REF!</f>
        <v>#REF!</v>
      </c>
      <c r="L9" s="15" t="e">
        <f>'FSS Phase 1 P&amp;L'!#REF!</f>
        <v>#REF!</v>
      </c>
      <c r="M9" s="15" t="e">
        <f>'FSS Phase 1 P&amp;L'!#REF!</f>
        <v>#REF!</v>
      </c>
      <c r="N9" s="15" t="e">
        <f>'FSS Phase 1 P&amp;L'!#REF!</f>
        <v>#REF!</v>
      </c>
      <c r="O9" s="15" t="e">
        <f>SUM(C9:N9)</f>
        <v>#REF!</v>
      </c>
      <c r="P9" s="15"/>
      <c r="Q9" s="15" t="e">
        <f>'FSS Phase 1 P&amp;L'!#REF!</f>
        <v>#REF!</v>
      </c>
      <c r="R9" s="15" t="e">
        <f>'FSS Phase 1 P&amp;L'!#REF!</f>
        <v>#REF!</v>
      </c>
      <c r="S9" s="15" t="e">
        <f>'FSS Phase 1 P&amp;L'!#REF!</f>
        <v>#REF!</v>
      </c>
      <c r="T9" s="15" t="e">
        <f>'FSS Phase 1 P&amp;L'!#REF!</f>
        <v>#REF!</v>
      </c>
    </row>
    <row r="10" spans="1:20" s="16" customFormat="1" x14ac:dyDescent="0.2">
      <c r="A10" s="14" t="s">
        <v>52</v>
      </c>
      <c r="B10" s="15"/>
      <c r="C10" s="15" t="e">
        <f>'FSS Phase 1 P&amp;L'!#REF!</f>
        <v>#REF!</v>
      </c>
      <c r="D10" s="15" t="e">
        <f>'FSS Phase 1 P&amp;L'!#REF!</f>
        <v>#REF!</v>
      </c>
      <c r="E10" s="15" t="e">
        <f>'FSS Phase 1 P&amp;L'!#REF!</f>
        <v>#REF!</v>
      </c>
      <c r="F10" s="15" t="e">
        <f>'FSS Phase 1 P&amp;L'!#REF!</f>
        <v>#REF!</v>
      </c>
      <c r="G10" s="15" t="e">
        <f>'FSS Phase 1 P&amp;L'!#REF!</f>
        <v>#REF!</v>
      </c>
      <c r="H10" s="15" t="e">
        <f>'FSS Phase 1 P&amp;L'!#REF!</f>
        <v>#REF!</v>
      </c>
      <c r="I10" s="15" t="e">
        <f>'FSS Phase 1 P&amp;L'!#REF!</f>
        <v>#REF!</v>
      </c>
      <c r="J10" s="15" t="e">
        <f>'FSS Phase 1 P&amp;L'!#REF!</f>
        <v>#REF!</v>
      </c>
      <c r="K10" s="15" t="e">
        <f>'FSS Phase 1 P&amp;L'!#REF!</f>
        <v>#REF!</v>
      </c>
      <c r="L10" s="15" t="e">
        <f>'FSS Phase 1 P&amp;L'!#REF!</f>
        <v>#REF!</v>
      </c>
      <c r="M10" s="15" t="e">
        <f>'FSS Phase 1 P&amp;L'!#REF!</f>
        <v>#REF!</v>
      </c>
      <c r="N10" s="15" t="e">
        <f>'FSS Phase 1 P&amp;L'!#REF!</f>
        <v>#REF!</v>
      </c>
      <c r="O10" s="15" t="e">
        <f>SUM(C10:N10)</f>
        <v>#REF!</v>
      </c>
      <c r="P10" s="15"/>
      <c r="Q10" s="15" t="e">
        <f>'FSS Phase 1 P&amp;L'!#REF!</f>
        <v>#REF!</v>
      </c>
      <c r="R10" s="15" t="e">
        <f>'FSS Phase 1 P&amp;L'!#REF!</f>
        <v>#REF!</v>
      </c>
      <c r="S10" s="15" t="e">
        <f>'FSS Phase 1 P&amp;L'!#REF!</f>
        <v>#REF!</v>
      </c>
      <c r="T10" s="15" t="e">
        <f>'FSS Phase 1 P&amp;L'!#REF!</f>
        <v>#REF!</v>
      </c>
    </row>
    <row r="11" spans="1:20" s="19" customFormat="1" x14ac:dyDescent="0.2">
      <c r="A11" s="17" t="s">
        <v>53</v>
      </c>
      <c r="B11" s="18"/>
      <c r="C11" s="18" t="e">
        <f t="shared" ref="C11:O11" si="0">C10/C9</f>
        <v>#REF!</v>
      </c>
      <c r="D11" s="18" t="e">
        <f t="shared" si="0"/>
        <v>#REF!</v>
      </c>
      <c r="E11" s="18" t="e">
        <f t="shared" si="0"/>
        <v>#REF!</v>
      </c>
      <c r="F11" s="18" t="e">
        <f t="shared" si="0"/>
        <v>#REF!</v>
      </c>
      <c r="G11" s="18" t="e">
        <f t="shared" si="0"/>
        <v>#REF!</v>
      </c>
      <c r="H11" s="18" t="e">
        <f t="shared" si="0"/>
        <v>#REF!</v>
      </c>
      <c r="I11" s="18" t="e">
        <f t="shared" si="0"/>
        <v>#REF!</v>
      </c>
      <c r="J11" s="18" t="e">
        <f t="shared" si="0"/>
        <v>#REF!</v>
      </c>
      <c r="K11" s="18" t="e">
        <f t="shared" si="0"/>
        <v>#REF!</v>
      </c>
      <c r="L11" s="18" t="e">
        <f t="shared" si="0"/>
        <v>#REF!</v>
      </c>
      <c r="M11" s="18" t="e">
        <f t="shared" si="0"/>
        <v>#REF!</v>
      </c>
      <c r="N11" s="18" t="e">
        <f t="shared" si="0"/>
        <v>#REF!</v>
      </c>
      <c r="O11" s="18" t="e">
        <f t="shared" si="0"/>
        <v>#REF!</v>
      </c>
      <c r="P11" s="18"/>
      <c r="Q11" s="18" t="e">
        <f>Q10/Q9</f>
        <v>#REF!</v>
      </c>
      <c r="R11" s="18" t="e">
        <f>R10/R9</f>
        <v>#REF!</v>
      </c>
      <c r="S11" s="18" t="e">
        <f>S10/S9</f>
        <v>#REF!</v>
      </c>
      <c r="T11" s="18" t="e">
        <f>T10/T9</f>
        <v>#REF!</v>
      </c>
    </row>
    <row r="12" spans="1:20" s="11" customForma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x14ac:dyDescent="0.2">
      <c r="B13" s="1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s="26" customFormat="1" ht="15.75" x14ac:dyDescent="0.25">
      <c r="A14" s="23" t="s">
        <v>26</v>
      </c>
      <c r="B14" s="25"/>
      <c r="C14" s="24">
        <f>'FSS Phase 1 P&amp;L'!B27</f>
        <v>0</v>
      </c>
      <c r="D14" s="24">
        <f>'FSS Phase 1 P&amp;L'!C27</f>
        <v>0</v>
      </c>
      <c r="E14" s="24">
        <f>'FSS Phase 1 P&amp;L'!D27</f>
        <v>1505570.6666666667</v>
      </c>
      <c r="F14" s="24">
        <f>'FSS Phase 1 P&amp;L'!E27</f>
        <v>3011141.3333333335</v>
      </c>
      <c r="G14" s="24">
        <f>'FSS Phase 1 P&amp;L'!F27</f>
        <v>4516712</v>
      </c>
      <c r="H14" s="24">
        <f>'FSS Phase 1 P&amp;L'!G27</f>
        <v>6022282.666666667</v>
      </c>
      <c r="I14" s="24">
        <f>'FSS Phase 1 P&amp;L'!H27</f>
        <v>7527853.333333333</v>
      </c>
      <c r="J14" s="24">
        <f>'FSS Phase 1 P&amp;L'!I27</f>
        <v>9033424</v>
      </c>
      <c r="K14" s="24">
        <f>'FSS Phase 1 P&amp;L'!J27</f>
        <v>10538994.666666666</v>
      </c>
      <c r="L14" s="24">
        <f>'FSS Phase 1 P&amp;L'!K27</f>
        <v>12044565.333333334</v>
      </c>
      <c r="M14" s="24">
        <f>'FSS Phase 1 P&amp;L'!L27</f>
        <v>13550136</v>
      </c>
      <c r="N14" s="24">
        <f>'FSS Phase 1 P&amp;L'!M27</f>
        <v>13550136</v>
      </c>
      <c r="O14" s="24">
        <f>SUM(C14:N14)</f>
        <v>81300816</v>
      </c>
      <c r="P14" s="24"/>
      <c r="Q14" s="24">
        <f>'FSS Phase 1 P&amp;L'!AA27</f>
        <v>162601632</v>
      </c>
      <c r="R14" s="24">
        <f>'FSS Phase 1 P&amp;L'!AB27</f>
        <v>167479680.96000001</v>
      </c>
      <c r="S14" s="24">
        <f>'FSS Phase 1 P&amp;L'!AC27</f>
        <v>168173818.56</v>
      </c>
      <c r="T14" s="24">
        <f>'FSS Phase 1 P&amp;L'!AD27</f>
        <v>173219033.11679998</v>
      </c>
    </row>
    <row r="15" spans="1:20" s="26" customFormat="1" ht="15.75" x14ac:dyDescent="0.25">
      <c r="A15" s="23" t="s">
        <v>54</v>
      </c>
      <c r="B15" s="25"/>
      <c r="C15" s="24" t="e">
        <f>'FSS Phase 1 P&amp;L'!#REF!</f>
        <v>#REF!</v>
      </c>
      <c r="D15" s="24" t="e">
        <f>'FSS Phase 1 P&amp;L'!#REF!</f>
        <v>#REF!</v>
      </c>
      <c r="E15" s="24" t="e">
        <f>'FSS Phase 1 P&amp;L'!#REF!</f>
        <v>#REF!</v>
      </c>
      <c r="F15" s="24" t="e">
        <f>'FSS Phase 1 P&amp;L'!#REF!</f>
        <v>#REF!</v>
      </c>
      <c r="G15" s="24" t="e">
        <f>'FSS Phase 1 P&amp;L'!#REF!</f>
        <v>#REF!</v>
      </c>
      <c r="H15" s="24" t="e">
        <f>'FSS Phase 1 P&amp;L'!#REF!</f>
        <v>#REF!</v>
      </c>
      <c r="I15" s="24" t="e">
        <f>'FSS Phase 1 P&amp;L'!#REF!</f>
        <v>#REF!</v>
      </c>
      <c r="J15" s="24" t="e">
        <f>'FSS Phase 1 P&amp;L'!#REF!</f>
        <v>#REF!</v>
      </c>
      <c r="K15" s="24" t="e">
        <f>'FSS Phase 1 P&amp;L'!#REF!</f>
        <v>#REF!</v>
      </c>
      <c r="L15" s="24" t="e">
        <f>'FSS Phase 1 P&amp;L'!#REF!</f>
        <v>#REF!</v>
      </c>
      <c r="M15" s="24" t="e">
        <f>'FSS Phase 1 P&amp;L'!#REF!</f>
        <v>#REF!</v>
      </c>
      <c r="N15" s="24" t="e">
        <f>'FSS Phase 1 P&amp;L'!#REF!</f>
        <v>#REF!</v>
      </c>
      <c r="O15" s="24" t="e">
        <f>SUM(C15:N15)</f>
        <v>#REF!</v>
      </c>
      <c r="P15" s="24"/>
      <c r="Q15" s="24" t="e">
        <f>'FSS Phase 1 P&amp;L'!#REF!</f>
        <v>#REF!</v>
      </c>
      <c r="R15" s="24" t="e">
        <f>'FSS Phase 1 P&amp;L'!#REF!</f>
        <v>#REF!</v>
      </c>
      <c r="S15" s="24" t="e">
        <f>'FSS Phase 1 P&amp;L'!#REF!</f>
        <v>#REF!</v>
      </c>
      <c r="T15" s="24" t="e">
        <f>'FSS Phase 1 P&amp;L'!#REF!</f>
        <v>#REF!</v>
      </c>
    </row>
    <row r="16" spans="1:20" x14ac:dyDescent="0.2">
      <c r="B16" s="28"/>
      <c r="C16" s="27" t="s">
        <v>55</v>
      </c>
      <c r="D16" s="27" t="s">
        <v>55</v>
      </c>
      <c r="E16" s="27" t="s">
        <v>55</v>
      </c>
      <c r="F16" s="27" t="s">
        <v>55</v>
      </c>
      <c r="G16" s="27" t="s">
        <v>55</v>
      </c>
      <c r="H16" s="27" t="s">
        <v>55</v>
      </c>
      <c r="I16" s="27" t="s">
        <v>55</v>
      </c>
      <c r="J16" s="27" t="s">
        <v>55</v>
      </c>
      <c r="K16" s="27" t="s">
        <v>55</v>
      </c>
      <c r="L16" s="27" t="s">
        <v>55</v>
      </c>
      <c r="M16" s="27" t="s">
        <v>55</v>
      </c>
      <c r="N16" s="27" t="s">
        <v>55</v>
      </c>
      <c r="O16" s="27" t="s">
        <v>55</v>
      </c>
      <c r="P16" s="27"/>
      <c r="Q16" s="27" t="s">
        <v>55</v>
      </c>
      <c r="R16" s="27" t="s">
        <v>55</v>
      </c>
      <c r="S16" s="27" t="s">
        <v>55</v>
      </c>
      <c r="T16" s="27" t="s">
        <v>55</v>
      </c>
    </row>
    <row r="17" spans="1:21" s="32" customFormat="1" ht="15.75" x14ac:dyDescent="0.25">
      <c r="A17" s="29" t="s">
        <v>29</v>
      </c>
      <c r="B17" s="31"/>
      <c r="C17" s="30" t="e">
        <f t="shared" ref="C17:T17" si="1">C14-C15</f>
        <v>#REF!</v>
      </c>
      <c r="D17" s="30" t="e">
        <f t="shared" si="1"/>
        <v>#REF!</v>
      </c>
      <c r="E17" s="30" t="e">
        <f t="shared" si="1"/>
        <v>#REF!</v>
      </c>
      <c r="F17" s="30" t="e">
        <f t="shared" si="1"/>
        <v>#REF!</v>
      </c>
      <c r="G17" s="30" t="e">
        <f t="shared" si="1"/>
        <v>#REF!</v>
      </c>
      <c r="H17" s="30" t="e">
        <f t="shared" si="1"/>
        <v>#REF!</v>
      </c>
      <c r="I17" s="30" t="e">
        <f t="shared" si="1"/>
        <v>#REF!</v>
      </c>
      <c r="J17" s="30" t="e">
        <f t="shared" si="1"/>
        <v>#REF!</v>
      </c>
      <c r="K17" s="30" t="e">
        <f t="shared" si="1"/>
        <v>#REF!</v>
      </c>
      <c r="L17" s="30" t="e">
        <f t="shared" si="1"/>
        <v>#REF!</v>
      </c>
      <c r="M17" s="30" t="e">
        <f t="shared" si="1"/>
        <v>#REF!</v>
      </c>
      <c r="N17" s="30" t="e">
        <f t="shared" si="1"/>
        <v>#REF!</v>
      </c>
      <c r="O17" s="30" t="e">
        <f t="shared" si="1"/>
        <v>#REF!</v>
      </c>
      <c r="P17" s="30"/>
      <c r="Q17" s="30" t="e">
        <f>Q14-Q15</f>
        <v>#REF!</v>
      </c>
      <c r="R17" s="30" t="e">
        <f t="shared" si="1"/>
        <v>#REF!</v>
      </c>
      <c r="S17" s="30" t="e">
        <f t="shared" si="1"/>
        <v>#REF!</v>
      </c>
      <c r="T17" s="30" t="e">
        <f t="shared" si="1"/>
        <v>#REF!</v>
      </c>
    </row>
    <row r="18" spans="1:21" s="36" customFormat="1" x14ac:dyDescent="0.2">
      <c r="A18" s="33" t="s">
        <v>56</v>
      </c>
      <c r="B18" s="35"/>
      <c r="C18" s="34" t="e">
        <f t="shared" ref="C18:O18" si="2">C17/C$14</f>
        <v>#REF!</v>
      </c>
      <c r="D18" s="34" t="e">
        <f t="shared" si="2"/>
        <v>#REF!</v>
      </c>
      <c r="E18" s="34" t="e">
        <f t="shared" si="2"/>
        <v>#REF!</v>
      </c>
      <c r="F18" s="34" t="e">
        <f t="shared" si="2"/>
        <v>#REF!</v>
      </c>
      <c r="G18" s="34" t="e">
        <f t="shared" si="2"/>
        <v>#REF!</v>
      </c>
      <c r="H18" s="34" t="e">
        <f t="shared" si="2"/>
        <v>#REF!</v>
      </c>
      <c r="I18" s="34" t="e">
        <f t="shared" si="2"/>
        <v>#REF!</v>
      </c>
      <c r="J18" s="34" t="e">
        <f t="shared" si="2"/>
        <v>#REF!</v>
      </c>
      <c r="K18" s="34" t="e">
        <f t="shared" si="2"/>
        <v>#REF!</v>
      </c>
      <c r="L18" s="34" t="e">
        <f t="shared" si="2"/>
        <v>#REF!</v>
      </c>
      <c r="M18" s="34" t="e">
        <f t="shared" si="2"/>
        <v>#REF!</v>
      </c>
      <c r="N18" s="34" t="e">
        <f t="shared" si="2"/>
        <v>#REF!</v>
      </c>
      <c r="O18" s="34" t="e">
        <f t="shared" si="2"/>
        <v>#REF!</v>
      </c>
      <c r="P18" s="34"/>
      <c r="Q18" s="34" t="e">
        <f>Q17/Q$14</f>
        <v>#REF!</v>
      </c>
      <c r="R18" s="34" t="e">
        <f>R17/R$14</f>
        <v>#REF!</v>
      </c>
      <c r="S18" s="34" t="e">
        <f>S17/S$14</f>
        <v>#REF!</v>
      </c>
      <c r="T18" s="34" t="e">
        <f>T17/T$14</f>
        <v>#REF!</v>
      </c>
    </row>
    <row r="19" spans="1:21" x14ac:dyDescent="0.2">
      <c r="B19" s="1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1" s="26" customFormat="1" ht="15.75" x14ac:dyDescent="0.25">
      <c r="A20" s="23" t="s">
        <v>57</v>
      </c>
      <c r="B20" s="25"/>
      <c r="C20" s="24" t="e">
        <f>'FSS Phase 1 P&amp;L'!#REF!+'FSS Phase 1 P&amp;L'!#REF!</f>
        <v>#REF!</v>
      </c>
      <c r="D20" s="24" t="e">
        <f>'FSS Phase 1 P&amp;L'!#REF!+'FSS Phase 1 P&amp;L'!#REF!</f>
        <v>#REF!</v>
      </c>
      <c r="E20" s="24" t="e">
        <f>'FSS Phase 1 P&amp;L'!#REF!+'FSS Phase 1 P&amp;L'!#REF!</f>
        <v>#REF!</v>
      </c>
      <c r="F20" s="24" t="e">
        <f>'FSS Phase 1 P&amp;L'!#REF!+'FSS Phase 1 P&amp;L'!#REF!</f>
        <v>#REF!</v>
      </c>
      <c r="G20" s="24" t="e">
        <f>'FSS Phase 1 P&amp;L'!#REF!+'FSS Phase 1 P&amp;L'!#REF!</f>
        <v>#REF!</v>
      </c>
      <c r="H20" s="24" t="e">
        <f>'FSS Phase 1 P&amp;L'!#REF!+'FSS Phase 1 P&amp;L'!#REF!</f>
        <v>#REF!</v>
      </c>
      <c r="I20" s="24" t="e">
        <f>'FSS Phase 1 P&amp;L'!#REF!+'FSS Phase 1 P&amp;L'!#REF!</f>
        <v>#REF!</v>
      </c>
      <c r="J20" s="24" t="e">
        <f>'FSS Phase 1 P&amp;L'!#REF!+'FSS Phase 1 P&amp;L'!#REF!</f>
        <v>#REF!</v>
      </c>
      <c r="K20" s="24" t="e">
        <f>'FSS Phase 1 P&amp;L'!#REF!+'FSS Phase 1 P&amp;L'!#REF!</f>
        <v>#REF!</v>
      </c>
      <c r="L20" s="24" t="e">
        <f>'FSS Phase 1 P&amp;L'!#REF!+'FSS Phase 1 P&amp;L'!#REF!</f>
        <v>#REF!</v>
      </c>
      <c r="M20" s="24" t="e">
        <f>'FSS Phase 1 P&amp;L'!#REF!+'FSS Phase 1 P&amp;L'!#REF!</f>
        <v>#REF!</v>
      </c>
      <c r="N20" s="24" t="e">
        <f>'FSS Phase 1 P&amp;L'!#REF!+'FSS Phase 1 P&amp;L'!#REF!</f>
        <v>#REF!</v>
      </c>
      <c r="O20" s="24" t="e">
        <f>SUM(C20:N20)</f>
        <v>#REF!</v>
      </c>
      <c r="P20" s="24"/>
      <c r="Q20" s="24" t="e">
        <f>'FSS Phase 1 P&amp;L'!#REF!+'FSS Phase 1 P&amp;L'!#REF!</f>
        <v>#REF!</v>
      </c>
      <c r="R20" s="24" t="e">
        <f>'FSS Phase 1 P&amp;L'!#REF!+'FSS Phase 1 P&amp;L'!#REF!</f>
        <v>#REF!</v>
      </c>
      <c r="S20" s="24" t="e">
        <f>'FSS Phase 1 P&amp;L'!#REF!+'FSS Phase 1 P&amp;L'!#REF!</f>
        <v>#REF!</v>
      </c>
      <c r="T20" s="24" t="e">
        <f>'FSS Phase 1 P&amp;L'!#REF!+'FSS Phase 1 P&amp;L'!#REF!</f>
        <v>#REF!</v>
      </c>
    </row>
    <row r="21" spans="1:21" s="26" customFormat="1" ht="15.75" x14ac:dyDescent="0.25">
      <c r="B21" s="38"/>
      <c r="C21" s="37" t="s">
        <v>55</v>
      </c>
      <c r="D21" s="37" t="s">
        <v>55</v>
      </c>
      <c r="E21" s="37" t="s">
        <v>55</v>
      </c>
      <c r="F21" s="37" t="s">
        <v>55</v>
      </c>
      <c r="G21" s="37" t="s">
        <v>55</v>
      </c>
      <c r="H21" s="37" t="s">
        <v>55</v>
      </c>
      <c r="I21" s="37" t="s">
        <v>55</v>
      </c>
      <c r="J21" s="37" t="s">
        <v>55</v>
      </c>
      <c r="K21" s="37" t="s">
        <v>55</v>
      </c>
      <c r="L21" s="37" t="s">
        <v>55</v>
      </c>
      <c r="M21" s="37" t="s">
        <v>55</v>
      </c>
      <c r="N21" s="37" t="s">
        <v>55</v>
      </c>
      <c r="O21" s="37" t="s">
        <v>55</v>
      </c>
      <c r="P21" s="37"/>
      <c r="Q21" s="37" t="s">
        <v>55</v>
      </c>
      <c r="R21" s="37" t="s">
        <v>55</v>
      </c>
      <c r="S21" s="37" t="s">
        <v>55</v>
      </c>
      <c r="T21" s="37" t="s">
        <v>55</v>
      </c>
    </row>
    <row r="22" spans="1:21" s="26" customFormat="1" ht="15.75" x14ac:dyDescent="0.25">
      <c r="A22" s="23" t="s">
        <v>58</v>
      </c>
      <c r="B22" s="25"/>
      <c r="C22" s="24" t="e">
        <f t="shared" ref="C22:O22" si="3">C17-C20</f>
        <v>#REF!</v>
      </c>
      <c r="D22" s="24" t="e">
        <f t="shared" si="3"/>
        <v>#REF!</v>
      </c>
      <c r="E22" s="24" t="e">
        <f t="shared" si="3"/>
        <v>#REF!</v>
      </c>
      <c r="F22" s="24" t="e">
        <f t="shared" si="3"/>
        <v>#REF!</v>
      </c>
      <c r="G22" s="24" t="e">
        <f t="shared" si="3"/>
        <v>#REF!</v>
      </c>
      <c r="H22" s="24" t="e">
        <f t="shared" si="3"/>
        <v>#REF!</v>
      </c>
      <c r="I22" s="24" t="e">
        <f t="shared" si="3"/>
        <v>#REF!</v>
      </c>
      <c r="J22" s="24" t="e">
        <f t="shared" si="3"/>
        <v>#REF!</v>
      </c>
      <c r="K22" s="24" t="e">
        <f t="shared" si="3"/>
        <v>#REF!</v>
      </c>
      <c r="L22" s="24" t="e">
        <f t="shared" si="3"/>
        <v>#REF!</v>
      </c>
      <c r="M22" s="24" t="e">
        <f t="shared" si="3"/>
        <v>#REF!</v>
      </c>
      <c r="N22" s="24" t="e">
        <f t="shared" si="3"/>
        <v>#REF!</v>
      </c>
      <c r="O22" s="24" t="e">
        <f t="shared" si="3"/>
        <v>#REF!</v>
      </c>
      <c r="P22" s="24"/>
      <c r="Q22" s="24" t="e">
        <f>Q17-Q20</f>
        <v>#REF!</v>
      </c>
      <c r="R22" s="24" t="e">
        <f>R17-R20</f>
        <v>#REF!</v>
      </c>
      <c r="S22" s="24" t="e">
        <f>S17-S20</f>
        <v>#REF!</v>
      </c>
      <c r="T22" s="24" t="e">
        <f>T17-T20</f>
        <v>#REF!</v>
      </c>
    </row>
    <row r="23" spans="1:21" s="36" customFormat="1" x14ac:dyDescent="0.2">
      <c r="A23" s="33" t="s">
        <v>59</v>
      </c>
      <c r="B23" s="35"/>
      <c r="C23" s="34" t="e">
        <f t="shared" ref="C23:O23" si="4">C22/C$14</f>
        <v>#REF!</v>
      </c>
      <c r="D23" s="34" t="e">
        <f t="shared" si="4"/>
        <v>#REF!</v>
      </c>
      <c r="E23" s="34" t="e">
        <f t="shared" si="4"/>
        <v>#REF!</v>
      </c>
      <c r="F23" s="34" t="e">
        <f t="shared" si="4"/>
        <v>#REF!</v>
      </c>
      <c r="G23" s="34" t="e">
        <f t="shared" si="4"/>
        <v>#REF!</v>
      </c>
      <c r="H23" s="34" t="e">
        <f t="shared" si="4"/>
        <v>#REF!</v>
      </c>
      <c r="I23" s="34" t="e">
        <f t="shared" si="4"/>
        <v>#REF!</v>
      </c>
      <c r="J23" s="34" t="e">
        <f t="shared" si="4"/>
        <v>#REF!</v>
      </c>
      <c r="K23" s="34" t="e">
        <f t="shared" si="4"/>
        <v>#REF!</v>
      </c>
      <c r="L23" s="34" t="e">
        <f t="shared" si="4"/>
        <v>#REF!</v>
      </c>
      <c r="M23" s="34" t="e">
        <f t="shared" si="4"/>
        <v>#REF!</v>
      </c>
      <c r="N23" s="34" t="e">
        <f t="shared" si="4"/>
        <v>#REF!</v>
      </c>
      <c r="O23" s="34" t="e">
        <f t="shared" si="4"/>
        <v>#REF!</v>
      </c>
      <c r="P23" s="34"/>
      <c r="Q23" s="34" t="e">
        <f>Q22/Q$14</f>
        <v>#REF!</v>
      </c>
      <c r="R23" s="34" t="e">
        <f>R22/R$14</f>
        <v>#REF!</v>
      </c>
      <c r="S23" s="34" t="e">
        <f>S22/S$14</f>
        <v>#REF!</v>
      </c>
      <c r="T23" s="34" t="e">
        <f>T22/T$14</f>
        <v>#REF!</v>
      </c>
    </row>
    <row r="24" spans="1:21" x14ac:dyDescent="0.2">
      <c r="B24" s="1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1" s="26" customFormat="1" ht="15.75" x14ac:dyDescent="0.25">
      <c r="A25" s="23" t="s">
        <v>60</v>
      </c>
      <c r="B25" s="25"/>
      <c r="C25" s="24">
        <f>'FSS Phase 1 P&amp;L'!B124</f>
        <v>24339</v>
      </c>
      <c r="D25" s="24">
        <f>'FSS Phase 1 P&amp;L'!C124</f>
        <v>24339</v>
      </c>
      <c r="E25" s="24">
        <f>'FSS Phase 1 P&amp;L'!D124</f>
        <v>24339</v>
      </c>
      <c r="F25" s="24">
        <f>'FSS Phase 1 P&amp;L'!E124</f>
        <v>24339</v>
      </c>
      <c r="G25" s="24">
        <f>'FSS Phase 1 P&amp;L'!F124</f>
        <v>24339</v>
      </c>
      <c r="H25" s="24">
        <f>'FSS Phase 1 P&amp;L'!G124</f>
        <v>24339</v>
      </c>
      <c r="I25" s="24">
        <f>'FSS Phase 1 P&amp;L'!H124</f>
        <v>24339</v>
      </c>
      <c r="J25" s="24">
        <f>'FSS Phase 1 P&amp;L'!I124</f>
        <v>24339</v>
      </c>
      <c r="K25" s="24">
        <f>'FSS Phase 1 P&amp;L'!J124</f>
        <v>24339</v>
      </c>
      <c r="L25" s="24">
        <f>'FSS Phase 1 P&amp;L'!K124</f>
        <v>24339</v>
      </c>
      <c r="M25" s="24">
        <f>'FSS Phase 1 P&amp;L'!L124</f>
        <v>24339</v>
      </c>
      <c r="N25" s="24">
        <f>'FSS Phase 1 P&amp;L'!M124</f>
        <v>24339</v>
      </c>
      <c r="O25" s="24">
        <f t="shared" ref="O25:O34" si="5">SUM(C25:N25)</f>
        <v>292068</v>
      </c>
      <c r="P25" s="24"/>
      <c r="Q25" s="24">
        <f>'FSS Phase 1 P&amp;L'!AA124</f>
        <v>299930.03999999998</v>
      </c>
      <c r="R25" s="24">
        <f>'FSS Phase 1 P&amp;L'!AB124</f>
        <v>308027.9412</v>
      </c>
      <c r="S25" s="24">
        <f>'FSS Phase 1 P&amp;L'!AC124</f>
        <v>316368.77943599998</v>
      </c>
      <c r="T25" s="24">
        <f>'FSS Phase 1 P&amp;L'!AD124</f>
        <v>324959.84281907999</v>
      </c>
    </row>
    <row r="26" spans="1:21" s="26" customFormat="1" ht="15.75" x14ac:dyDescent="0.25">
      <c r="A26" s="39" t="s">
        <v>81</v>
      </c>
      <c r="B26" s="25"/>
      <c r="C26" s="24" t="e">
        <f>'FSS Phase 1 P&amp;L'!B128+'FSS Phase 1 P&amp;L'!#REF!+'FSS Phase 1 P&amp;L'!#REF!+'FSS Phase 1 P&amp;L'!#REF!</f>
        <v>#REF!</v>
      </c>
      <c r="D26" s="24" t="e">
        <f>'FSS Phase 1 P&amp;L'!#REF!+'FSS Phase 1 P&amp;L'!#REF!+'FSS Phase 1 P&amp;L'!#REF!+'FSS Phase 1 P&amp;L'!#REF!</f>
        <v>#REF!</v>
      </c>
      <c r="E26" s="24" t="e">
        <f>'FSS Phase 1 P&amp;L'!D128+'FSS Phase 1 P&amp;L'!#REF!+'FSS Phase 1 P&amp;L'!#REF!+'FSS Phase 1 P&amp;L'!#REF!</f>
        <v>#REF!</v>
      </c>
      <c r="F26" s="24" t="e">
        <f>'FSS Phase 1 P&amp;L'!E128+'FSS Phase 1 P&amp;L'!#REF!+'FSS Phase 1 P&amp;L'!#REF!+'FSS Phase 1 P&amp;L'!#REF!</f>
        <v>#REF!</v>
      </c>
      <c r="G26" s="24" t="e">
        <f>'FSS Phase 1 P&amp;L'!F128+'FSS Phase 1 P&amp;L'!#REF!+'FSS Phase 1 P&amp;L'!#REF!+'FSS Phase 1 P&amp;L'!#REF!</f>
        <v>#REF!</v>
      </c>
      <c r="H26" s="24" t="e">
        <f>'FSS Phase 1 P&amp;L'!G128+'FSS Phase 1 P&amp;L'!#REF!+'FSS Phase 1 P&amp;L'!#REF!+'FSS Phase 1 P&amp;L'!#REF!</f>
        <v>#REF!</v>
      </c>
      <c r="I26" s="24" t="e">
        <f>'FSS Phase 1 P&amp;L'!H128+'FSS Phase 1 P&amp;L'!#REF!+'FSS Phase 1 P&amp;L'!#REF!+'FSS Phase 1 P&amp;L'!#REF!</f>
        <v>#REF!</v>
      </c>
      <c r="J26" s="24" t="e">
        <f>'FSS Phase 1 P&amp;L'!I128+'FSS Phase 1 P&amp;L'!#REF!+'FSS Phase 1 P&amp;L'!#REF!+'FSS Phase 1 P&amp;L'!#REF!</f>
        <v>#REF!</v>
      </c>
      <c r="K26" s="24" t="e">
        <f>'FSS Phase 1 P&amp;L'!J128+'FSS Phase 1 P&amp;L'!#REF!+'FSS Phase 1 P&amp;L'!#REF!+'FSS Phase 1 P&amp;L'!#REF!</f>
        <v>#REF!</v>
      </c>
      <c r="L26" s="24" t="e">
        <f>'FSS Phase 1 P&amp;L'!K128+'FSS Phase 1 P&amp;L'!#REF!+'FSS Phase 1 P&amp;L'!#REF!+'FSS Phase 1 P&amp;L'!#REF!</f>
        <v>#REF!</v>
      </c>
      <c r="M26" s="24" t="e">
        <f>'FSS Phase 1 P&amp;L'!L128+'FSS Phase 1 P&amp;L'!#REF!+'FSS Phase 1 P&amp;L'!#REF!+'FSS Phase 1 P&amp;L'!#REF!</f>
        <v>#REF!</v>
      </c>
      <c r="N26" s="24" t="e">
        <f>'FSS Phase 1 P&amp;L'!M128+'FSS Phase 1 P&amp;L'!#REF!+'FSS Phase 1 P&amp;L'!#REF!+'FSS Phase 1 P&amp;L'!#REF!</f>
        <v>#REF!</v>
      </c>
      <c r="O26" s="24" t="e">
        <f t="shared" si="5"/>
        <v>#REF!</v>
      </c>
      <c r="P26" s="24"/>
      <c r="Q26" s="24" t="e">
        <f>'FSS Phase 1 P&amp;L'!AA128+'FSS Phase 1 P&amp;L'!#REF!+'FSS Phase 1 P&amp;L'!#REF!+'FSS Phase 1 P&amp;L'!#REF!</f>
        <v>#REF!</v>
      </c>
      <c r="R26" s="24" t="e">
        <f>'FSS Phase 1 P&amp;L'!AB128+'FSS Phase 1 P&amp;L'!#REF!+'FSS Phase 1 P&amp;L'!#REF!+'FSS Phase 1 P&amp;L'!#REF!</f>
        <v>#REF!</v>
      </c>
      <c r="S26" s="24" t="e">
        <f>'FSS Phase 1 P&amp;L'!AC128+'FSS Phase 1 P&amp;L'!#REF!+'FSS Phase 1 P&amp;L'!#REF!+'FSS Phase 1 P&amp;L'!#REF!</f>
        <v>#REF!</v>
      </c>
      <c r="T26" s="24" t="e">
        <f>'FSS Phase 1 P&amp;L'!AD128+'FSS Phase 1 P&amp;L'!#REF!+'FSS Phase 1 P&amp;L'!#REF!+'FSS Phase 1 P&amp;L'!#REF!</f>
        <v>#REF!</v>
      </c>
      <c r="U26" s="24"/>
    </row>
    <row r="27" spans="1:21" s="26" customFormat="1" ht="15.75" x14ac:dyDescent="0.25">
      <c r="A27" s="39" t="s">
        <v>82</v>
      </c>
      <c r="B27" s="25"/>
      <c r="C27" s="24">
        <f>'FSS Phase 1 P&amp;L'!B129</f>
        <v>60250</v>
      </c>
      <c r="D27" s="24">
        <f>'FSS Phase 1 P&amp;L'!C129</f>
        <v>60250</v>
      </c>
      <c r="E27" s="24">
        <f>'FSS Phase 1 P&amp;L'!D129</f>
        <v>60250</v>
      </c>
      <c r="F27" s="24">
        <f>'FSS Phase 1 P&amp;L'!E129</f>
        <v>60250</v>
      </c>
      <c r="G27" s="24">
        <f>'FSS Phase 1 P&amp;L'!F129</f>
        <v>60250</v>
      </c>
      <c r="H27" s="24">
        <f>'FSS Phase 1 P&amp;L'!G129</f>
        <v>60250</v>
      </c>
      <c r="I27" s="24">
        <f>'FSS Phase 1 P&amp;L'!H129</f>
        <v>60250</v>
      </c>
      <c r="J27" s="24">
        <f>'FSS Phase 1 P&amp;L'!I129</f>
        <v>60250</v>
      </c>
      <c r="K27" s="24">
        <f>'FSS Phase 1 P&amp;L'!J129</f>
        <v>60250</v>
      </c>
      <c r="L27" s="24">
        <f>'FSS Phase 1 P&amp;L'!K129</f>
        <v>60250</v>
      </c>
      <c r="M27" s="24">
        <f>'FSS Phase 1 P&amp;L'!L129</f>
        <v>60250</v>
      </c>
      <c r="N27" s="24">
        <f>'FSS Phase 1 P&amp;L'!M129</f>
        <v>60250</v>
      </c>
      <c r="O27" s="24">
        <f t="shared" si="5"/>
        <v>723000</v>
      </c>
      <c r="P27" s="24"/>
      <c r="Q27" s="24">
        <f>'FSS Phase 1 P&amp;L'!AA129</f>
        <v>723000</v>
      </c>
      <c r="R27" s="24">
        <f>'FSS Phase 1 P&amp;L'!AB129</f>
        <v>723000</v>
      </c>
      <c r="S27" s="24">
        <f>'FSS Phase 1 P&amp;L'!AC129</f>
        <v>723000</v>
      </c>
      <c r="T27" s="24">
        <f>'FSS Phase 1 P&amp;L'!AD129</f>
        <v>723000</v>
      </c>
      <c r="U27" s="24"/>
    </row>
    <row r="28" spans="1:21" s="26" customFormat="1" ht="15.75" x14ac:dyDescent="0.25">
      <c r="A28" s="39" t="s">
        <v>83</v>
      </c>
      <c r="B28" s="25"/>
      <c r="C28" s="24" t="e">
        <f>'FSS Phase 1 P&amp;L'!#REF!</f>
        <v>#REF!</v>
      </c>
      <c r="D28" s="24" t="e">
        <f>'FSS Phase 1 P&amp;L'!#REF!</f>
        <v>#REF!</v>
      </c>
      <c r="E28" s="24" t="e">
        <f>'FSS Phase 1 P&amp;L'!#REF!</f>
        <v>#REF!</v>
      </c>
      <c r="F28" s="24" t="e">
        <f>'FSS Phase 1 P&amp;L'!#REF!</f>
        <v>#REF!</v>
      </c>
      <c r="G28" s="24" t="e">
        <f>'FSS Phase 1 P&amp;L'!#REF!</f>
        <v>#REF!</v>
      </c>
      <c r="H28" s="24" t="e">
        <f>'FSS Phase 1 P&amp;L'!#REF!</f>
        <v>#REF!</v>
      </c>
      <c r="I28" s="24" t="e">
        <f>'FSS Phase 1 P&amp;L'!#REF!</f>
        <v>#REF!</v>
      </c>
      <c r="J28" s="24" t="e">
        <f>'FSS Phase 1 P&amp;L'!#REF!</f>
        <v>#REF!</v>
      </c>
      <c r="K28" s="24" t="e">
        <f>'FSS Phase 1 P&amp;L'!#REF!</f>
        <v>#REF!</v>
      </c>
      <c r="L28" s="24" t="e">
        <f>'FSS Phase 1 P&amp;L'!#REF!</f>
        <v>#REF!</v>
      </c>
      <c r="M28" s="24" t="e">
        <f>'FSS Phase 1 P&amp;L'!#REF!</f>
        <v>#REF!</v>
      </c>
      <c r="N28" s="24" t="e">
        <f>'FSS Phase 1 P&amp;L'!#REF!</f>
        <v>#REF!</v>
      </c>
      <c r="O28" s="24" t="e">
        <f t="shared" si="5"/>
        <v>#REF!</v>
      </c>
      <c r="P28" s="24"/>
      <c r="Q28" s="24" t="e">
        <f>'FSS Phase 1 P&amp;L'!#REF!</f>
        <v>#REF!</v>
      </c>
      <c r="R28" s="24" t="e">
        <f>'FSS Phase 1 P&amp;L'!#REF!</f>
        <v>#REF!</v>
      </c>
      <c r="S28" s="24" t="e">
        <f>'FSS Phase 1 P&amp;L'!#REF!</f>
        <v>#REF!</v>
      </c>
      <c r="T28" s="24" t="e">
        <f>'FSS Phase 1 P&amp;L'!#REF!</f>
        <v>#REF!</v>
      </c>
    </row>
    <row r="29" spans="1:21" s="26" customFormat="1" ht="15.75" x14ac:dyDescent="0.25">
      <c r="A29" s="39" t="s">
        <v>108</v>
      </c>
      <c r="B29" s="25"/>
      <c r="C29" s="24" t="e">
        <f>'FSS Phase 1 P&amp;L'!#REF!</f>
        <v>#REF!</v>
      </c>
      <c r="D29" s="24" t="e">
        <f>'FSS Phase 1 P&amp;L'!#REF!</f>
        <v>#REF!</v>
      </c>
      <c r="E29" s="24" t="e">
        <f>'FSS Phase 1 P&amp;L'!#REF!</f>
        <v>#REF!</v>
      </c>
      <c r="F29" s="24" t="e">
        <f>'FSS Phase 1 P&amp;L'!#REF!</f>
        <v>#REF!</v>
      </c>
      <c r="G29" s="24" t="e">
        <f>'FSS Phase 1 P&amp;L'!#REF!</f>
        <v>#REF!</v>
      </c>
      <c r="H29" s="24" t="e">
        <f>'FSS Phase 1 P&amp;L'!#REF!</f>
        <v>#REF!</v>
      </c>
      <c r="I29" s="24" t="e">
        <f>'FSS Phase 1 P&amp;L'!#REF!</f>
        <v>#REF!</v>
      </c>
      <c r="J29" s="24" t="e">
        <f>'FSS Phase 1 P&amp;L'!#REF!</f>
        <v>#REF!</v>
      </c>
      <c r="K29" s="24" t="e">
        <f>'FSS Phase 1 P&amp;L'!#REF!</f>
        <v>#REF!</v>
      </c>
      <c r="L29" s="24" t="e">
        <f>'FSS Phase 1 P&amp;L'!#REF!</f>
        <v>#REF!</v>
      </c>
      <c r="M29" s="24" t="e">
        <f>'FSS Phase 1 P&amp;L'!#REF!</f>
        <v>#REF!</v>
      </c>
      <c r="N29" s="24" t="e">
        <f>'FSS Phase 1 P&amp;L'!#REF!</f>
        <v>#REF!</v>
      </c>
      <c r="O29" s="24" t="e">
        <f t="shared" si="5"/>
        <v>#REF!</v>
      </c>
      <c r="P29" s="24"/>
      <c r="Q29" s="24" t="e">
        <f>'FSS Phase 1 P&amp;L'!#REF!</f>
        <v>#REF!</v>
      </c>
      <c r="R29" s="24" t="e">
        <f>'FSS Phase 1 P&amp;L'!#REF!</f>
        <v>#REF!</v>
      </c>
      <c r="S29" s="24" t="e">
        <f>'FSS Phase 1 P&amp;L'!#REF!</f>
        <v>#REF!</v>
      </c>
      <c r="T29" s="24" t="e">
        <f>'FSS Phase 1 P&amp;L'!#REF!</f>
        <v>#REF!</v>
      </c>
    </row>
    <row r="30" spans="1:21" s="26" customFormat="1" ht="15.75" x14ac:dyDescent="0.25">
      <c r="A30" s="23" t="s">
        <v>64</v>
      </c>
      <c r="B30" s="25"/>
      <c r="C30" s="24" t="e">
        <f>'FSS Phase 1 P&amp;L'!#REF!+'FSS Phase 1 P&amp;L'!#REF!</f>
        <v>#REF!</v>
      </c>
      <c r="D30" s="24" t="e">
        <f>'FSS Phase 1 P&amp;L'!#REF!+'FSS Phase 1 P&amp;L'!#REF!</f>
        <v>#REF!</v>
      </c>
      <c r="E30" s="24" t="e">
        <f>'FSS Phase 1 P&amp;L'!#REF!+'FSS Phase 1 P&amp;L'!#REF!</f>
        <v>#REF!</v>
      </c>
      <c r="F30" s="24" t="e">
        <f>'FSS Phase 1 P&amp;L'!#REF!+'FSS Phase 1 P&amp;L'!#REF!</f>
        <v>#REF!</v>
      </c>
      <c r="G30" s="24" t="e">
        <f>'FSS Phase 1 P&amp;L'!#REF!+'FSS Phase 1 P&amp;L'!#REF!</f>
        <v>#REF!</v>
      </c>
      <c r="H30" s="24" t="e">
        <f>'FSS Phase 1 P&amp;L'!#REF!+'FSS Phase 1 P&amp;L'!#REF!</f>
        <v>#REF!</v>
      </c>
      <c r="I30" s="24" t="e">
        <f>'FSS Phase 1 P&amp;L'!#REF!+'FSS Phase 1 P&amp;L'!#REF!</f>
        <v>#REF!</v>
      </c>
      <c r="J30" s="24" t="e">
        <f>'FSS Phase 1 P&amp;L'!#REF!+'FSS Phase 1 P&amp;L'!#REF!</f>
        <v>#REF!</v>
      </c>
      <c r="K30" s="24" t="e">
        <f>'FSS Phase 1 P&amp;L'!#REF!+'FSS Phase 1 P&amp;L'!#REF!</f>
        <v>#REF!</v>
      </c>
      <c r="L30" s="24" t="e">
        <f>'FSS Phase 1 P&amp;L'!#REF!+'FSS Phase 1 P&amp;L'!#REF!</f>
        <v>#REF!</v>
      </c>
      <c r="M30" s="24" t="e">
        <f>'FSS Phase 1 P&amp;L'!#REF!+'FSS Phase 1 P&amp;L'!#REF!</f>
        <v>#REF!</v>
      </c>
      <c r="N30" s="24" t="e">
        <f>'FSS Phase 1 P&amp;L'!#REF!+'FSS Phase 1 P&amp;L'!#REF!</f>
        <v>#REF!</v>
      </c>
      <c r="O30" s="24" t="e">
        <f t="shared" si="5"/>
        <v>#REF!</v>
      </c>
      <c r="P30" s="24"/>
      <c r="Q30" s="24" t="e">
        <f>'FSS Phase 1 P&amp;L'!#REF!+'FSS Phase 1 P&amp;L'!#REF!</f>
        <v>#REF!</v>
      </c>
      <c r="R30" s="24" t="e">
        <f>'FSS Phase 1 P&amp;L'!#REF!+'FSS Phase 1 P&amp;L'!#REF!</f>
        <v>#REF!</v>
      </c>
      <c r="S30" s="24" t="e">
        <f>'FSS Phase 1 P&amp;L'!#REF!+'FSS Phase 1 P&amp;L'!#REF!</f>
        <v>#REF!</v>
      </c>
      <c r="T30" s="24" t="e">
        <f>'FSS Phase 1 P&amp;L'!#REF!+'FSS Phase 1 P&amp;L'!#REF!</f>
        <v>#REF!</v>
      </c>
    </row>
    <row r="31" spans="1:21" s="26" customFormat="1" ht="15.75" x14ac:dyDescent="0.25">
      <c r="A31" s="23" t="s">
        <v>62</v>
      </c>
      <c r="B31" s="25"/>
      <c r="C31" s="24" t="e">
        <f>'FSS Phase 1 P&amp;L'!#REF!</f>
        <v>#REF!</v>
      </c>
      <c r="D31" s="24" t="e">
        <f>'FSS Phase 1 P&amp;L'!#REF!</f>
        <v>#REF!</v>
      </c>
      <c r="E31" s="24" t="e">
        <f>'FSS Phase 1 P&amp;L'!#REF!</f>
        <v>#REF!</v>
      </c>
      <c r="F31" s="24" t="e">
        <f>'FSS Phase 1 P&amp;L'!#REF!</f>
        <v>#REF!</v>
      </c>
      <c r="G31" s="24" t="e">
        <f>'FSS Phase 1 P&amp;L'!#REF!</f>
        <v>#REF!</v>
      </c>
      <c r="H31" s="24" t="e">
        <f>'FSS Phase 1 P&amp;L'!#REF!</f>
        <v>#REF!</v>
      </c>
      <c r="I31" s="24" t="e">
        <f>'FSS Phase 1 P&amp;L'!#REF!</f>
        <v>#REF!</v>
      </c>
      <c r="J31" s="24" t="e">
        <f>'FSS Phase 1 P&amp;L'!#REF!</f>
        <v>#REF!</v>
      </c>
      <c r="K31" s="24" t="e">
        <f>'FSS Phase 1 P&amp;L'!#REF!</f>
        <v>#REF!</v>
      </c>
      <c r="L31" s="24" t="e">
        <f>'FSS Phase 1 P&amp;L'!#REF!</f>
        <v>#REF!</v>
      </c>
      <c r="M31" s="24" t="e">
        <f>'FSS Phase 1 P&amp;L'!#REF!</f>
        <v>#REF!</v>
      </c>
      <c r="N31" s="24" t="e">
        <f>'FSS Phase 1 P&amp;L'!#REF!</f>
        <v>#REF!</v>
      </c>
      <c r="O31" s="24" t="e">
        <f t="shared" si="5"/>
        <v>#REF!</v>
      </c>
      <c r="P31" s="24"/>
      <c r="Q31" s="24" t="e">
        <f>'FSS Phase 1 P&amp;L'!#REF!-'FSS Phase 1 P&amp;L'!#REF!</f>
        <v>#REF!</v>
      </c>
      <c r="R31" s="24" t="e">
        <f>'FSS Phase 1 P&amp;L'!#REF!-'FSS Phase 1 P&amp;L'!#REF!</f>
        <v>#REF!</v>
      </c>
      <c r="S31" s="24" t="e">
        <f>'FSS Phase 1 P&amp;L'!#REF!+'FSS Phase 1 P&amp;L'!#REF!+'FSS Phase 1 P&amp;L'!#REF!+'FSS Phase 1 P&amp;L'!#REF!+'FSS Phase 1 P&amp;L'!#REF!</f>
        <v>#REF!</v>
      </c>
      <c r="T31" s="24" t="e">
        <f>'FSS Phase 1 P&amp;L'!#REF!+'FSS Phase 1 P&amp;L'!#REF!+'FSS Phase 1 P&amp;L'!#REF!+'FSS Phase 1 P&amp;L'!#REF!+'FSS Phase 1 P&amp;L'!#REF!</f>
        <v>#REF!</v>
      </c>
    </row>
    <row r="32" spans="1:21" s="26" customFormat="1" ht="15.75" x14ac:dyDescent="0.25">
      <c r="A32" s="39" t="s">
        <v>63</v>
      </c>
      <c r="B32" s="25"/>
      <c r="C32" s="24" t="e">
        <f>'FSS Phase 1 P&amp;L'!#REF!+'FSS Phase 1 P&amp;L'!#REF!</f>
        <v>#REF!</v>
      </c>
      <c r="D32" s="24" t="e">
        <f>'FSS Phase 1 P&amp;L'!#REF!+'FSS Phase 1 P&amp;L'!#REF!</f>
        <v>#REF!</v>
      </c>
      <c r="E32" s="24" t="e">
        <f>'FSS Phase 1 P&amp;L'!#REF!+'FSS Phase 1 P&amp;L'!#REF!</f>
        <v>#REF!</v>
      </c>
      <c r="F32" s="24" t="e">
        <f>'FSS Phase 1 P&amp;L'!#REF!+'FSS Phase 1 P&amp;L'!#REF!</f>
        <v>#REF!</v>
      </c>
      <c r="G32" s="24" t="e">
        <f>'FSS Phase 1 P&amp;L'!#REF!+'FSS Phase 1 P&amp;L'!#REF!</f>
        <v>#REF!</v>
      </c>
      <c r="H32" s="24" t="e">
        <f>'FSS Phase 1 P&amp;L'!#REF!+'FSS Phase 1 P&amp;L'!#REF!</f>
        <v>#REF!</v>
      </c>
      <c r="I32" s="24" t="e">
        <f>'FSS Phase 1 P&amp;L'!#REF!+'FSS Phase 1 P&amp;L'!#REF!</f>
        <v>#REF!</v>
      </c>
      <c r="J32" s="24" t="e">
        <f>'FSS Phase 1 P&amp;L'!#REF!+'FSS Phase 1 P&amp;L'!#REF!</f>
        <v>#REF!</v>
      </c>
      <c r="K32" s="24" t="e">
        <f>'FSS Phase 1 P&amp;L'!#REF!+'FSS Phase 1 P&amp;L'!#REF!</f>
        <v>#REF!</v>
      </c>
      <c r="L32" s="24" t="e">
        <f>'FSS Phase 1 P&amp;L'!#REF!+'FSS Phase 1 P&amp;L'!#REF!</f>
        <v>#REF!</v>
      </c>
      <c r="M32" s="24" t="e">
        <f>'FSS Phase 1 P&amp;L'!#REF!+'FSS Phase 1 P&amp;L'!#REF!</f>
        <v>#REF!</v>
      </c>
      <c r="N32" s="24" t="e">
        <f>'FSS Phase 1 P&amp;L'!#REF!+'FSS Phase 1 P&amp;L'!#REF!</f>
        <v>#REF!</v>
      </c>
      <c r="O32" s="24" t="e">
        <f>SUM(C32:N32)</f>
        <v>#REF!</v>
      </c>
      <c r="P32" s="24"/>
      <c r="Q32" s="24" t="e">
        <f>'FSS Phase 1 P&amp;L'!#REF!+'FSS Phase 1 P&amp;L'!#REF!</f>
        <v>#REF!</v>
      </c>
      <c r="R32" s="24" t="e">
        <f>'FSS Phase 1 P&amp;L'!#REF!+'FSS Phase 1 P&amp;L'!#REF!</f>
        <v>#REF!</v>
      </c>
      <c r="S32" s="24" t="e">
        <f>'FSS Phase 1 P&amp;L'!#REF!+'FSS Phase 1 P&amp;L'!#REF!</f>
        <v>#REF!</v>
      </c>
      <c r="T32" s="24" t="e">
        <f>'FSS Phase 1 P&amp;L'!#REF!+'FSS Phase 1 P&amp;L'!#REF!</f>
        <v>#REF!</v>
      </c>
    </row>
    <row r="33" spans="1:20" s="26" customFormat="1" ht="15.75" x14ac:dyDescent="0.25">
      <c r="A33" s="39" t="s">
        <v>61</v>
      </c>
      <c r="B33" s="25"/>
      <c r="C33" s="24" t="e">
        <f>'FSS Phase 1 P&amp;L'!#REF!+'FSS Phase 1 P&amp;L'!#REF!+'FSS Phase 1 P&amp;L'!#REF!+'FSS Phase 1 P&amp;L'!#REF!+'FSS Phase 1 P&amp;L'!#REF!</f>
        <v>#REF!</v>
      </c>
      <c r="D33" s="24" t="e">
        <f>'FSS Phase 1 P&amp;L'!#REF!+'FSS Phase 1 P&amp;L'!#REF!+'FSS Phase 1 P&amp;L'!#REF!+'FSS Phase 1 P&amp;L'!#REF!+'FSS Phase 1 P&amp;L'!#REF!</f>
        <v>#REF!</v>
      </c>
      <c r="E33" s="24" t="e">
        <f>'FSS Phase 1 P&amp;L'!#REF!+'FSS Phase 1 P&amp;L'!#REF!+'FSS Phase 1 P&amp;L'!#REF!+'FSS Phase 1 P&amp;L'!#REF!+'FSS Phase 1 P&amp;L'!#REF!</f>
        <v>#REF!</v>
      </c>
      <c r="F33" s="24" t="e">
        <f>'FSS Phase 1 P&amp;L'!#REF!+'FSS Phase 1 P&amp;L'!#REF!+'FSS Phase 1 P&amp;L'!#REF!+'FSS Phase 1 P&amp;L'!#REF!+'FSS Phase 1 P&amp;L'!#REF!</f>
        <v>#REF!</v>
      </c>
      <c r="G33" s="24" t="e">
        <f>'FSS Phase 1 P&amp;L'!#REF!+'FSS Phase 1 P&amp;L'!#REF!+'FSS Phase 1 P&amp;L'!#REF!+'FSS Phase 1 P&amp;L'!#REF!+'FSS Phase 1 P&amp;L'!#REF!</f>
        <v>#REF!</v>
      </c>
      <c r="H33" s="24" t="e">
        <f>'FSS Phase 1 P&amp;L'!#REF!+'FSS Phase 1 P&amp;L'!#REF!+'FSS Phase 1 P&amp;L'!#REF!+'FSS Phase 1 P&amp;L'!#REF!+'FSS Phase 1 P&amp;L'!#REF!</f>
        <v>#REF!</v>
      </c>
      <c r="I33" s="24" t="e">
        <f>'FSS Phase 1 P&amp;L'!#REF!+'FSS Phase 1 P&amp;L'!#REF!+'FSS Phase 1 P&amp;L'!#REF!+'FSS Phase 1 P&amp;L'!#REF!+'FSS Phase 1 P&amp;L'!#REF!</f>
        <v>#REF!</v>
      </c>
      <c r="J33" s="24" t="e">
        <f>'FSS Phase 1 P&amp;L'!#REF!+'FSS Phase 1 P&amp;L'!#REF!+'FSS Phase 1 P&amp;L'!#REF!+'FSS Phase 1 P&amp;L'!#REF!+'FSS Phase 1 P&amp;L'!#REF!</f>
        <v>#REF!</v>
      </c>
      <c r="K33" s="24" t="e">
        <f>'FSS Phase 1 P&amp;L'!#REF!+'FSS Phase 1 P&amp;L'!#REF!+'FSS Phase 1 P&amp;L'!#REF!+'FSS Phase 1 P&amp;L'!#REF!+'FSS Phase 1 P&amp;L'!#REF!</f>
        <v>#REF!</v>
      </c>
      <c r="L33" s="24" t="e">
        <f>'FSS Phase 1 P&amp;L'!#REF!+'FSS Phase 1 P&amp;L'!#REF!+'FSS Phase 1 P&amp;L'!#REF!+'FSS Phase 1 P&amp;L'!#REF!+'FSS Phase 1 P&amp;L'!#REF!</f>
        <v>#REF!</v>
      </c>
      <c r="M33" s="24" t="e">
        <f>'FSS Phase 1 P&amp;L'!#REF!+'FSS Phase 1 P&amp;L'!#REF!+'FSS Phase 1 P&amp;L'!#REF!+'FSS Phase 1 P&amp;L'!#REF!+'FSS Phase 1 P&amp;L'!#REF!</f>
        <v>#REF!</v>
      </c>
      <c r="N33" s="24" t="e">
        <f>'FSS Phase 1 P&amp;L'!#REF!+'FSS Phase 1 P&amp;L'!#REF!+'FSS Phase 1 P&amp;L'!#REF!+'FSS Phase 1 P&amp;L'!#REF!+'FSS Phase 1 P&amp;L'!#REF!</f>
        <v>#REF!</v>
      </c>
      <c r="O33" s="24" t="e">
        <f t="shared" si="5"/>
        <v>#REF!</v>
      </c>
      <c r="P33" s="24"/>
      <c r="Q33" s="24" t="e">
        <f>'FSS Phase 1 P&amp;L'!#REF!+'FSS Phase 1 P&amp;L'!#REF!+'FSS Phase 1 P&amp;L'!#REF!+'FSS Phase 1 P&amp;L'!#REF!+'FSS Phase 1 P&amp;L'!#REF!</f>
        <v>#REF!</v>
      </c>
      <c r="R33" s="24" t="e">
        <f>'FSS Phase 1 P&amp;L'!#REF!+'FSS Phase 1 P&amp;L'!#REF!+'FSS Phase 1 P&amp;L'!#REF!+'FSS Phase 1 P&amp;L'!#REF!+'FSS Phase 1 P&amp;L'!#REF!</f>
        <v>#REF!</v>
      </c>
      <c r="S33" s="24" t="e">
        <f>'FSS Phase 1 P&amp;L'!#REF!+'FSS Phase 1 P&amp;L'!#REF!+'FSS Phase 1 P&amp;L'!#REF!+'FSS Phase 1 P&amp;L'!#REF!+'FSS Phase 1 P&amp;L'!#REF!</f>
        <v>#REF!</v>
      </c>
      <c r="T33" s="24" t="e">
        <f>'FSS Phase 1 P&amp;L'!#REF!+'FSS Phase 1 P&amp;L'!#REF!+'FSS Phase 1 P&amp;L'!#REF!+'FSS Phase 1 P&amp;L'!#REF!+'FSS Phase 1 P&amp;L'!#REF!</f>
        <v>#REF!</v>
      </c>
    </row>
    <row r="34" spans="1:20" s="26" customFormat="1" ht="15.75" x14ac:dyDescent="0.25">
      <c r="A34" s="23" t="s">
        <v>65</v>
      </c>
      <c r="B34" s="25"/>
      <c r="C34" s="24" t="e">
        <f>'FSS Phase 1 P&amp;L'!#REF!</f>
        <v>#REF!</v>
      </c>
      <c r="D34" s="24" t="e">
        <f>'FSS Phase 1 P&amp;L'!#REF!</f>
        <v>#REF!</v>
      </c>
      <c r="E34" s="24" t="e">
        <f>'FSS Phase 1 P&amp;L'!#REF!</f>
        <v>#REF!</v>
      </c>
      <c r="F34" s="24" t="e">
        <f>'FSS Phase 1 P&amp;L'!#REF!</f>
        <v>#REF!</v>
      </c>
      <c r="G34" s="24" t="e">
        <f>'FSS Phase 1 P&amp;L'!#REF!</f>
        <v>#REF!</v>
      </c>
      <c r="H34" s="24" t="e">
        <f>'FSS Phase 1 P&amp;L'!#REF!</f>
        <v>#REF!</v>
      </c>
      <c r="I34" s="24" t="e">
        <f>'FSS Phase 1 P&amp;L'!#REF!</f>
        <v>#REF!</v>
      </c>
      <c r="J34" s="24" t="e">
        <f>'FSS Phase 1 P&amp;L'!#REF!</f>
        <v>#REF!</v>
      </c>
      <c r="K34" s="24" t="e">
        <f>'FSS Phase 1 P&amp;L'!#REF!</f>
        <v>#REF!</v>
      </c>
      <c r="L34" s="24" t="e">
        <f>'FSS Phase 1 P&amp;L'!#REF!</f>
        <v>#REF!</v>
      </c>
      <c r="M34" s="24" t="e">
        <f>'FSS Phase 1 P&amp;L'!#REF!</f>
        <v>#REF!</v>
      </c>
      <c r="N34" s="24" t="e">
        <f>'FSS Phase 1 P&amp;L'!#REF!</f>
        <v>#REF!</v>
      </c>
      <c r="O34" s="24" t="e">
        <f t="shared" si="5"/>
        <v>#REF!</v>
      </c>
      <c r="P34" s="24"/>
      <c r="Q34" s="24" t="e">
        <f>'FSS Phase 1 P&amp;L'!#REF!</f>
        <v>#REF!</v>
      </c>
      <c r="R34" s="24" t="e">
        <f>'FSS Phase 1 P&amp;L'!#REF!</f>
        <v>#REF!</v>
      </c>
      <c r="S34" s="24" t="e">
        <f>'FSS Phase 1 P&amp;L'!#REF!</f>
        <v>#REF!</v>
      </c>
      <c r="T34" s="24" t="e">
        <f>'FSS Phase 1 P&amp;L'!#REF!</f>
        <v>#REF!</v>
      </c>
    </row>
    <row r="35" spans="1:20" x14ac:dyDescent="0.2">
      <c r="B35" s="28"/>
      <c r="C35" s="27" t="s">
        <v>55</v>
      </c>
      <c r="D35" s="27" t="s">
        <v>55</v>
      </c>
      <c r="E35" s="27" t="s">
        <v>55</v>
      </c>
      <c r="F35" s="27" t="s">
        <v>55</v>
      </c>
      <c r="G35" s="27" t="s">
        <v>55</v>
      </c>
      <c r="H35" s="27" t="s">
        <v>55</v>
      </c>
      <c r="I35" s="27" t="s">
        <v>55</v>
      </c>
      <c r="J35" s="27" t="s">
        <v>55</v>
      </c>
      <c r="K35" s="27" t="s">
        <v>55</v>
      </c>
      <c r="L35" s="27" t="s">
        <v>55</v>
      </c>
      <c r="M35" s="27" t="s">
        <v>55</v>
      </c>
      <c r="N35" s="27" t="s">
        <v>55</v>
      </c>
      <c r="O35" s="27" t="s">
        <v>55</v>
      </c>
      <c r="P35" s="27"/>
      <c r="Q35" s="27" t="s">
        <v>55</v>
      </c>
      <c r="R35" s="27" t="s">
        <v>55</v>
      </c>
      <c r="S35" s="27" t="s">
        <v>55</v>
      </c>
      <c r="T35" s="27" t="s">
        <v>55</v>
      </c>
    </row>
    <row r="36" spans="1:20" s="26" customFormat="1" ht="15.75" x14ac:dyDescent="0.25">
      <c r="A36" s="39" t="s">
        <v>84</v>
      </c>
      <c r="B36" s="25"/>
      <c r="C36" s="24" t="e">
        <f t="shared" ref="C36:O36" si="6">C22-SUM(C25:C34)</f>
        <v>#REF!</v>
      </c>
      <c r="D36" s="24" t="e">
        <f t="shared" si="6"/>
        <v>#REF!</v>
      </c>
      <c r="E36" s="24" t="e">
        <f t="shared" si="6"/>
        <v>#REF!</v>
      </c>
      <c r="F36" s="24" t="e">
        <f t="shared" si="6"/>
        <v>#REF!</v>
      </c>
      <c r="G36" s="24" t="e">
        <f t="shared" si="6"/>
        <v>#REF!</v>
      </c>
      <c r="H36" s="24" t="e">
        <f t="shared" si="6"/>
        <v>#REF!</v>
      </c>
      <c r="I36" s="24" t="e">
        <f t="shared" si="6"/>
        <v>#REF!</v>
      </c>
      <c r="J36" s="24" t="e">
        <f t="shared" si="6"/>
        <v>#REF!</v>
      </c>
      <c r="K36" s="24" t="e">
        <f t="shared" si="6"/>
        <v>#REF!</v>
      </c>
      <c r="L36" s="24" t="e">
        <f t="shared" si="6"/>
        <v>#REF!</v>
      </c>
      <c r="M36" s="24" t="e">
        <f t="shared" si="6"/>
        <v>#REF!</v>
      </c>
      <c r="N36" s="24" t="e">
        <f t="shared" si="6"/>
        <v>#REF!</v>
      </c>
      <c r="O36" s="24" t="e">
        <f t="shared" si="6"/>
        <v>#REF!</v>
      </c>
      <c r="P36" s="24"/>
      <c r="Q36" s="24" t="e">
        <f>Q22-SUM(Q25:Q34)</f>
        <v>#REF!</v>
      </c>
      <c r="R36" s="24" t="e">
        <f>R22-SUM(R25:R34)</f>
        <v>#REF!</v>
      </c>
      <c r="S36" s="24" t="e">
        <f>S22-SUM(S25:S34)</f>
        <v>#REF!</v>
      </c>
      <c r="T36" s="24" t="e">
        <f>T22-SUM(T25:T34)</f>
        <v>#REF!</v>
      </c>
    </row>
    <row r="37" spans="1:20" x14ac:dyDescent="0.2">
      <c r="B37" s="1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s="40" customFormat="1" ht="15.75" x14ac:dyDescent="0.25">
      <c r="A38" s="48" t="s">
        <v>106</v>
      </c>
      <c r="B38" s="25"/>
      <c r="C38" s="24" t="e">
        <f>'FSS Phase 1 P&amp;L'!#REF!</f>
        <v>#REF!</v>
      </c>
      <c r="D38" s="24" t="e">
        <f>'FSS Phase 1 P&amp;L'!#REF!</f>
        <v>#REF!</v>
      </c>
      <c r="E38" s="24" t="e">
        <f>'FSS Phase 1 P&amp;L'!#REF!</f>
        <v>#REF!</v>
      </c>
      <c r="F38" s="24" t="e">
        <f>'FSS Phase 1 P&amp;L'!#REF!</f>
        <v>#REF!</v>
      </c>
      <c r="G38" s="24" t="e">
        <f>'FSS Phase 1 P&amp;L'!#REF!</f>
        <v>#REF!</v>
      </c>
      <c r="H38" s="24" t="e">
        <f>'FSS Phase 1 P&amp;L'!#REF!</f>
        <v>#REF!</v>
      </c>
      <c r="I38" s="24" t="e">
        <f>'FSS Phase 1 P&amp;L'!#REF!</f>
        <v>#REF!</v>
      </c>
      <c r="J38" s="24" t="e">
        <f>'FSS Phase 1 P&amp;L'!#REF!</f>
        <v>#REF!</v>
      </c>
      <c r="K38" s="24" t="e">
        <f>'FSS Phase 1 P&amp;L'!#REF!</f>
        <v>#REF!</v>
      </c>
      <c r="L38" s="24" t="e">
        <f>'FSS Phase 1 P&amp;L'!#REF!</f>
        <v>#REF!</v>
      </c>
      <c r="M38" s="24" t="e">
        <f>'FSS Phase 1 P&amp;L'!#REF!</f>
        <v>#REF!</v>
      </c>
      <c r="N38" s="24" t="e">
        <f>'FSS Phase 1 P&amp;L'!#REF!</f>
        <v>#REF!</v>
      </c>
      <c r="O38" s="24" t="e">
        <f>SUM(C38:N38)</f>
        <v>#REF!</v>
      </c>
      <c r="P38" s="24"/>
      <c r="Q38" s="24" t="e">
        <f>'FSS Phase 1 P&amp;L'!#REF!</f>
        <v>#REF!</v>
      </c>
      <c r="R38" s="24" t="e">
        <f>'FSS Phase 1 P&amp;L'!#REF!</f>
        <v>#REF!</v>
      </c>
      <c r="S38" s="24" t="e">
        <f>'FSS Phase 1 P&amp;L'!#REF!</f>
        <v>#REF!</v>
      </c>
      <c r="T38" s="24" t="e">
        <f>'FSS Phase 1 P&amp;L'!#REF!</f>
        <v>#REF!</v>
      </c>
    </row>
    <row r="39" spans="1:20" x14ac:dyDescent="0.2">
      <c r="B39" s="28"/>
      <c r="C39" s="27" t="s">
        <v>55</v>
      </c>
      <c r="D39" s="27" t="s">
        <v>55</v>
      </c>
      <c r="E39" s="27" t="s">
        <v>55</v>
      </c>
      <c r="F39" s="27" t="s">
        <v>55</v>
      </c>
      <c r="G39" s="27" t="s">
        <v>55</v>
      </c>
      <c r="H39" s="27" t="s">
        <v>55</v>
      </c>
      <c r="I39" s="27" t="s">
        <v>55</v>
      </c>
      <c r="J39" s="27" t="s">
        <v>55</v>
      </c>
      <c r="K39" s="27" t="s">
        <v>55</v>
      </c>
      <c r="L39" s="27" t="s">
        <v>55</v>
      </c>
      <c r="M39" s="27" t="s">
        <v>55</v>
      </c>
      <c r="N39" s="27" t="s">
        <v>55</v>
      </c>
      <c r="O39" s="27" t="s">
        <v>55</v>
      </c>
      <c r="P39" s="27"/>
      <c r="Q39" s="27" t="s">
        <v>55</v>
      </c>
      <c r="R39" s="27" t="s">
        <v>55</v>
      </c>
      <c r="S39" s="27" t="s">
        <v>55</v>
      </c>
      <c r="T39" s="27" t="s">
        <v>55</v>
      </c>
    </row>
    <row r="40" spans="1:20" s="26" customFormat="1" ht="15.75" x14ac:dyDescent="0.25">
      <c r="A40" s="39" t="s">
        <v>85</v>
      </c>
      <c r="B40" s="25"/>
      <c r="C40" s="24" t="e">
        <f t="shared" ref="C40:O40" si="7">C36-C38</f>
        <v>#REF!</v>
      </c>
      <c r="D40" s="24" t="e">
        <f t="shared" si="7"/>
        <v>#REF!</v>
      </c>
      <c r="E40" s="24" t="e">
        <f t="shared" si="7"/>
        <v>#REF!</v>
      </c>
      <c r="F40" s="24" t="e">
        <f t="shared" si="7"/>
        <v>#REF!</v>
      </c>
      <c r="G40" s="24" t="e">
        <f t="shared" si="7"/>
        <v>#REF!</v>
      </c>
      <c r="H40" s="24" t="e">
        <f t="shared" si="7"/>
        <v>#REF!</v>
      </c>
      <c r="I40" s="24" t="e">
        <f t="shared" si="7"/>
        <v>#REF!</v>
      </c>
      <c r="J40" s="24" t="e">
        <f t="shared" si="7"/>
        <v>#REF!</v>
      </c>
      <c r="K40" s="24" t="e">
        <f t="shared" si="7"/>
        <v>#REF!</v>
      </c>
      <c r="L40" s="24" t="e">
        <f t="shared" si="7"/>
        <v>#REF!</v>
      </c>
      <c r="M40" s="24" t="e">
        <f t="shared" si="7"/>
        <v>#REF!</v>
      </c>
      <c r="N40" s="24" t="e">
        <f t="shared" si="7"/>
        <v>#REF!</v>
      </c>
      <c r="O40" s="24" t="e">
        <f t="shared" si="7"/>
        <v>#REF!</v>
      </c>
      <c r="P40" s="24"/>
      <c r="Q40" s="24" t="e">
        <f>Q36-Q38</f>
        <v>#REF!</v>
      </c>
      <c r="R40" s="24" t="e">
        <f>R36-R38</f>
        <v>#REF!</v>
      </c>
      <c r="S40" s="24" t="e">
        <f>S36-S38</f>
        <v>#REF!</v>
      </c>
      <c r="T40" s="24" t="e">
        <f>T36-T38</f>
        <v>#REF!</v>
      </c>
    </row>
    <row r="41" spans="1:20" x14ac:dyDescent="0.2">
      <c r="B41" s="28"/>
      <c r="C41" s="27" t="s">
        <v>66</v>
      </c>
      <c r="D41" s="27" t="s">
        <v>66</v>
      </c>
      <c r="E41" s="27" t="s">
        <v>66</v>
      </c>
      <c r="F41" s="27" t="s">
        <v>66</v>
      </c>
      <c r="G41" s="27" t="s">
        <v>66</v>
      </c>
      <c r="H41" s="27" t="s">
        <v>66</v>
      </c>
      <c r="I41" s="27" t="s">
        <v>66</v>
      </c>
      <c r="J41" s="27" t="s">
        <v>66</v>
      </c>
      <c r="K41" s="27" t="s">
        <v>66</v>
      </c>
      <c r="L41" s="27" t="s">
        <v>66</v>
      </c>
      <c r="M41" s="27" t="s">
        <v>66</v>
      </c>
      <c r="N41" s="27" t="s">
        <v>66</v>
      </c>
      <c r="O41" s="27" t="s">
        <v>66</v>
      </c>
      <c r="P41" s="27"/>
      <c r="Q41" s="27" t="s">
        <v>66</v>
      </c>
      <c r="R41" s="27" t="s">
        <v>66</v>
      </c>
      <c r="S41" s="27" t="s">
        <v>66</v>
      </c>
      <c r="T41" s="27" t="s">
        <v>66</v>
      </c>
    </row>
    <row r="42" spans="1:20" x14ac:dyDescent="0.2">
      <c r="B42" s="1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s="26" customFormat="1" ht="15.75" x14ac:dyDescent="0.25">
      <c r="A43" s="23" t="s">
        <v>31</v>
      </c>
      <c r="B43" s="25"/>
      <c r="C43" s="24" t="e">
        <f>C40+C31+C32+C30</f>
        <v>#REF!</v>
      </c>
      <c r="D43" s="24" t="e">
        <f t="shared" ref="D43:N43" si="8">D40+D31+D32+D30</f>
        <v>#REF!</v>
      </c>
      <c r="E43" s="24" t="e">
        <f t="shared" si="8"/>
        <v>#REF!</v>
      </c>
      <c r="F43" s="24" t="e">
        <f t="shared" si="8"/>
        <v>#REF!</v>
      </c>
      <c r="G43" s="24" t="e">
        <f t="shared" si="8"/>
        <v>#REF!</v>
      </c>
      <c r="H43" s="24" t="e">
        <f t="shared" si="8"/>
        <v>#REF!</v>
      </c>
      <c r="I43" s="24" t="e">
        <f t="shared" si="8"/>
        <v>#REF!</v>
      </c>
      <c r="J43" s="24" t="e">
        <f t="shared" si="8"/>
        <v>#REF!</v>
      </c>
      <c r="K43" s="24" t="e">
        <f t="shared" si="8"/>
        <v>#REF!</v>
      </c>
      <c r="L43" s="24" t="e">
        <f t="shared" si="8"/>
        <v>#REF!</v>
      </c>
      <c r="M43" s="24" t="e">
        <f t="shared" si="8"/>
        <v>#REF!</v>
      </c>
      <c r="N43" s="24" t="e">
        <f t="shared" si="8"/>
        <v>#REF!</v>
      </c>
      <c r="O43" s="24" t="e">
        <f>O40+O31+O32+O30</f>
        <v>#REF!</v>
      </c>
      <c r="P43" s="24"/>
      <c r="Q43" s="24" t="e">
        <f>Q40+Q31+Q32+Q30</f>
        <v>#REF!</v>
      </c>
      <c r="R43" s="24" t="e">
        <f>R40+R31+R32+R30</f>
        <v>#REF!</v>
      </c>
      <c r="S43" s="24" t="e">
        <f>S40+S31+S32+S30</f>
        <v>#REF!</v>
      </c>
      <c r="T43" s="24" t="e">
        <f>T40+T31+T32+T30</f>
        <v>#REF!</v>
      </c>
    </row>
    <row r="44" spans="1:20" s="36" customFormat="1" x14ac:dyDescent="0.2">
      <c r="A44" s="33" t="s">
        <v>32</v>
      </c>
      <c r="B44" s="35"/>
      <c r="C44" s="34" t="e">
        <f t="shared" ref="C44:O44" si="9">C43/C$14</f>
        <v>#REF!</v>
      </c>
      <c r="D44" s="34" t="e">
        <f t="shared" si="9"/>
        <v>#REF!</v>
      </c>
      <c r="E44" s="34" t="e">
        <f t="shared" si="9"/>
        <v>#REF!</v>
      </c>
      <c r="F44" s="34" t="e">
        <f t="shared" si="9"/>
        <v>#REF!</v>
      </c>
      <c r="G44" s="34" t="e">
        <f t="shared" si="9"/>
        <v>#REF!</v>
      </c>
      <c r="H44" s="34" t="e">
        <f t="shared" si="9"/>
        <v>#REF!</v>
      </c>
      <c r="I44" s="34" t="e">
        <f t="shared" si="9"/>
        <v>#REF!</v>
      </c>
      <c r="J44" s="34" t="e">
        <f t="shared" si="9"/>
        <v>#REF!</v>
      </c>
      <c r="K44" s="34" t="e">
        <f t="shared" si="9"/>
        <v>#REF!</v>
      </c>
      <c r="L44" s="34" t="e">
        <f t="shared" si="9"/>
        <v>#REF!</v>
      </c>
      <c r="M44" s="34" t="e">
        <f t="shared" si="9"/>
        <v>#REF!</v>
      </c>
      <c r="N44" s="34" t="e">
        <f t="shared" si="9"/>
        <v>#REF!</v>
      </c>
      <c r="O44" s="34" t="e">
        <f t="shared" si="9"/>
        <v>#REF!</v>
      </c>
      <c r="P44" s="34"/>
      <c r="Q44" s="34" t="e">
        <f>Q43/Q$14</f>
        <v>#REF!</v>
      </c>
      <c r="R44" s="34" t="e">
        <f>R43/R$14</f>
        <v>#REF!</v>
      </c>
      <c r="S44" s="34" t="e">
        <f>S43/S$14</f>
        <v>#REF!</v>
      </c>
      <c r="T44" s="34" t="e">
        <f>T43/T$14</f>
        <v>#REF!</v>
      </c>
    </row>
    <row r="45" spans="1:20" s="41" customFormat="1" ht="11.25" x14ac:dyDescent="0.2"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s="26" customFormat="1" ht="15.75" x14ac:dyDescent="0.25">
      <c r="A46" s="23" t="s">
        <v>30</v>
      </c>
      <c r="B46" s="25"/>
      <c r="C46" s="24" t="e">
        <f t="shared" ref="C46:O46" si="10">C43+C34</f>
        <v>#REF!</v>
      </c>
      <c r="D46" s="24" t="e">
        <f t="shared" si="10"/>
        <v>#REF!</v>
      </c>
      <c r="E46" s="24" t="e">
        <f t="shared" si="10"/>
        <v>#REF!</v>
      </c>
      <c r="F46" s="24" t="e">
        <f t="shared" si="10"/>
        <v>#REF!</v>
      </c>
      <c r="G46" s="24" t="e">
        <f t="shared" si="10"/>
        <v>#REF!</v>
      </c>
      <c r="H46" s="24" t="e">
        <f t="shared" si="10"/>
        <v>#REF!</v>
      </c>
      <c r="I46" s="24" t="e">
        <f t="shared" si="10"/>
        <v>#REF!</v>
      </c>
      <c r="J46" s="24" t="e">
        <f t="shared" si="10"/>
        <v>#REF!</v>
      </c>
      <c r="K46" s="24" t="e">
        <f t="shared" si="10"/>
        <v>#REF!</v>
      </c>
      <c r="L46" s="24" t="e">
        <f t="shared" si="10"/>
        <v>#REF!</v>
      </c>
      <c r="M46" s="24" t="e">
        <f t="shared" si="10"/>
        <v>#REF!</v>
      </c>
      <c r="N46" s="24" t="e">
        <f t="shared" si="10"/>
        <v>#REF!</v>
      </c>
      <c r="O46" s="24" t="e">
        <f t="shared" si="10"/>
        <v>#REF!</v>
      </c>
      <c r="P46" s="24"/>
      <c r="Q46" s="24" t="e">
        <f>Q43+Q34</f>
        <v>#REF!</v>
      </c>
      <c r="R46" s="24" t="e">
        <f>R43+R34</f>
        <v>#REF!</v>
      </c>
      <c r="S46" s="24" t="e">
        <f>S43+S34</f>
        <v>#REF!</v>
      </c>
      <c r="T46" s="24" t="e">
        <f>T43+T34</f>
        <v>#REF!</v>
      </c>
    </row>
    <row r="47" spans="1:20" s="36" customFormat="1" x14ac:dyDescent="0.2">
      <c r="A47" s="33" t="s">
        <v>67</v>
      </c>
      <c r="B47" s="35"/>
      <c r="C47" s="34" t="e">
        <f t="shared" ref="C47:O47" si="11">C46/C$14</f>
        <v>#REF!</v>
      </c>
      <c r="D47" s="34" t="e">
        <f t="shared" si="11"/>
        <v>#REF!</v>
      </c>
      <c r="E47" s="34" t="e">
        <f t="shared" si="11"/>
        <v>#REF!</v>
      </c>
      <c r="F47" s="34" t="e">
        <f t="shared" si="11"/>
        <v>#REF!</v>
      </c>
      <c r="G47" s="34" t="e">
        <f t="shared" si="11"/>
        <v>#REF!</v>
      </c>
      <c r="H47" s="34" t="e">
        <f t="shared" si="11"/>
        <v>#REF!</v>
      </c>
      <c r="I47" s="34" t="e">
        <f t="shared" si="11"/>
        <v>#REF!</v>
      </c>
      <c r="J47" s="34" t="e">
        <f t="shared" si="11"/>
        <v>#REF!</v>
      </c>
      <c r="K47" s="34" t="e">
        <f t="shared" si="11"/>
        <v>#REF!</v>
      </c>
      <c r="L47" s="34" t="e">
        <f t="shared" si="11"/>
        <v>#REF!</v>
      </c>
      <c r="M47" s="34" t="e">
        <f t="shared" si="11"/>
        <v>#REF!</v>
      </c>
      <c r="N47" s="34" t="e">
        <f t="shared" si="11"/>
        <v>#REF!</v>
      </c>
      <c r="O47" s="34" t="e">
        <f t="shared" si="11"/>
        <v>#REF!</v>
      </c>
      <c r="P47" s="34"/>
      <c r="Q47" s="34" t="e">
        <f>Q46/Q$14</f>
        <v>#REF!</v>
      </c>
      <c r="R47" s="34" t="e">
        <f>R46/R$14</f>
        <v>#REF!</v>
      </c>
      <c r="S47" s="34" t="e">
        <f>S46/S$14</f>
        <v>#REF!</v>
      </c>
      <c r="T47" s="34" t="e">
        <f>T46/T$14</f>
        <v>#REF!</v>
      </c>
    </row>
    <row r="48" spans="1:20" x14ac:dyDescent="0.2">
      <c r="Q48" s="21"/>
    </row>
  </sheetData>
  <mergeCells count="3">
    <mergeCell ref="C1:T1"/>
    <mergeCell ref="C2:T2"/>
    <mergeCell ref="C3:T3"/>
  </mergeCells>
  <pageMargins left="0.5" right="0.5" top="0.5" bottom="0.5" header="0.5" footer="0.5"/>
  <pageSetup scale="48" fitToWidth="2" orientation="landscape" r:id="rId1"/>
  <headerFooter alignWithMargins="0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Input</vt:lpstr>
      <vt:lpstr>FSS Phase 1 P&amp;L</vt:lpstr>
      <vt:lpstr>FSS Phase 1 Assumptions</vt:lpstr>
      <vt:lpstr>FSS 805 P&amp;L</vt:lpstr>
      <vt:lpstr>FSS 805 Assumptions</vt:lpstr>
      <vt:lpstr>CIL Mgmt P&amp;L</vt:lpstr>
      <vt:lpstr>CIL Mgmt Assumptions</vt:lpstr>
      <vt:lpstr>Headcount</vt:lpstr>
      <vt:lpstr>Forecast</vt:lpstr>
      <vt:lpstr>Checklist - CIP</vt:lpstr>
      <vt:lpstr>Mas 90 Upload Instructions</vt:lpstr>
      <vt:lpstr>'CIL Mgmt Assumptions'!Print_Titles</vt:lpstr>
      <vt:lpstr>'CIL Mgmt P&amp;L'!Print_Titles</vt:lpstr>
      <vt:lpstr>Forecast!Print_Titles</vt:lpstr>
      <vt:lpstr>'FSS 805 Assumptions'!Print_Titles</vt:lpstr>
      <vt:lpstr>'FSS 805 P&amp;L'!Print_Titles</vt:lpstr>
      <vt:lpstr>'FSS Phase 1 Assumptions'!Print_Titles</vt:lpstr>
      <vt:lpstr>'FSS Phase 1 P&amp;L'!Print_Titles</vt:lpstr>
    </vt:vector>
  </TitlesOfParts>
  <Company>Auction Broadcasting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Newcomer</dc:creator>
  <cp:lastModifiedBy>Mike Daily</cp:lastModifiedBy>
  <cp:lastPrinted>2023-09-05T14:53:51Z</cp:lastPrinted>
  <dcterms:created xsi:type="dcterms:W3CDTF">2007-07-13T17:53:45Z</dcterms:created>
  <dcterms:modified xsi:type="dcterms:W3CDTF">2024-05-16T20:08:11Z</dcterms:modified>
</cp:coreProperties>
</file>